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78FD4033-5A81-48C2-926E-A1B3BCF42A3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9701 Химия 7 класс" sheetId="1" r:id="rId1"/>
    <sheet name="19702 Химия 8 класс" sheetId="2" r:id="rId2"/>
    <sheet name="19703 Химия 9 класс" sheetId="3" r:id="rId3"/>
    <sheet name="19704 Химия 10 класс" sheetId="4" r:id="rId4"/>
    <sheet name="19705 Химия 11 класс" sheetId="5" r:id="rId5"/>
    <sheet name="TimeZones" sheetId="6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5" l="1"/>
  <c r="E7" i="5"/>
  <c r="F6" i="5"/>
  <c r="E6" i="5"/>
  <c r="F5" i="5"/>
  <c r="E5" i="5"/>
  <c r="F4" i="5"/>
  <c r="E4" i="5"/>
  <c r="F3" i="5"/>
  <c r="E3" i="5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F4" i="4"/>
  <c r="E4" i="4"/>
  <c r="F3" i="4"/>
  <c r="E3" i="4"/>
  <c r="F17" i="3"/>
  <c r="E17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  <c r="F6" i="3"/>
  <c r="E6" i="3"/>
  <c r="F5" i="3"/>
  <c r="E5" i="3"/>
  <c r="F4" i="3"/>
  <c r="E4" i="3"/>
  <c r="F3" i="3"/>
  <c r="E3" i="3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</calcChain>
</file>

<file path=xl/sharedStrings.xml><?xml version="1.0" encoding="utf-8"?>
<sst xmlns="http://schemas.openxmlformats.org/spreadsheetml/2006/main" count="215" uniqueCount="152">
  <si>
    <t>19702/edu822234/8/2g495646</t>
  </si>
  <si>
    <t>19702/edu822234/8/2g497646</t>
  </si>
  <si>
    <t>19702/edu822234/8/35v83w46</t>
  </si>
  <si>
    <t>19702/edu822234/8/35v87w46</t>
  </si>
  <si>
    <t>19702/edu822234/8/g3475q45</t>
  </si>
  <si>
    <t>19702/edu822234/8/g347rqv5</t>
  </si>
  <si>
    <t>19702/edu822234/8/q5v56439</t>
  </si>
  <si>
    <t>19702/edu822234/8/q5v5z643</t>
  </si>
  <si>
    <t>19702/edu822234/8/q84z7gv6</t>
  </si>
  <si>
    <t>19702/edu822234/8/w7vw246g</t>
  </si>
  <si>
    <t>19702/edu822234/8/z3v2764g</t>
  </si>
  <si>
    <t>19702/edu822234/8/z6vqgrvw</t>
  </si>
  <si>
    <t>19702/edu822234/8/z7vg8483</t>
  </si>
  <si>
    <t>19703/edu822234/9/2gz376z3</t>
  </si>
  <si>
    <t>19703/edu822234/9/35z87w96</t>
  </si>
  <si>
    <t>19703/edu822234/9/68z6gr92</t>
  </si>
  <si>
    <t>19703/edu822234/9/g3972qz6</t>
  </si>
  <si>
    <t>19703/edu822234/9/q5z56694</t>
  </si>
  <si>
    <t>19703/edu822234/9/q5z576z4</t>
  </si>
  <si>
    <t>19703/edu822234/9/q7zr5498</t>
  </si>
  <si>
    <t>19703/edu822234/9/v6zq6r9w</t>
  </si>
  <si>
    <t>19703/edu822234/9/v79v4q92</t>
  </si>
  <si>
    <t>19703/edu822234/9/v79vqqz2</t>
  </si>
  <si>
    <t>19703/edu822234/9/v79vrq92</t>
  </si>
  <si>
    <t>19703/edu822234/9/v79vvq92</t>
  </si>
  <si>
    <t>19703/edu822234/9/v7zg6894</t>
  </si>
  <si>
    <t>19703/edu822234/9/w7zw429g</t>
  </si>
  <si>
    <t>19704/edu822234/10/2g69zv4r</t>
  </si>
  <si>
    <t>19704/edu822234/10/35v8w647</t>
  </si>
  <si>
    <t>19704/edu822234/10/47vg863z</t>
  </si>
  <si>
    <t>19704/edu822234/10/47vgr863</t>
  </si>
  <si>
    <t>19704/edu822234/10/4zvqr623</t>
  </si>
  <si>
    <t>19704/edu822234/10/7z64r68w</t>
  </si>
  <si>
    <t>19704/edu822234/10/g367q678</t>
  </si>
  <si>
    <t>19704/edu822234/10/q5v5qzvw</t>
  </si>
  <si>
    <t>19704/edu822234/10/q5v5z6wg</t>
  </si>
  <si>
    <t>19704/edu822234/10/q7vr96gr</t>
  </si>
  <si>
    <t>19704/edu822234/10/q8vzgq6z</t>
  </si>
  <si>
    <t>19705/edu822234/11/35z8w6wv</t>
  </si>
  <si>
    <t>19705/edu822234/11/97zg86r3</t>
  </si>
  <si>
    <t>19705/edu822234/11/97zgr86r</t>
  </si>
  <si>
    <t>19705/edu822234/11/w7zw269q</t>
  </si>
  <si>
    <t>UTC</t>
  </si>
  <si>
    <t>UTC (МСК-3, UTC)</t>
  </si>
  <si>
    <t>Аблямитова Мерьем Янушовна</t>
  </si>
  <si>
    <t>Аметова Жасмин Эскендеровна</t>
  </si>
  <si>
    <t>Анадырь</t>
  </si>
  <si>
    <t>Анадырь (МСК+9, UTC+12)</t>
  </si>
  <si>
    <t>Астрахань</t>
  </si>
  <si>
    <t>Астрахань (МСК+1, UTC+4)</t>
  </si>
  <si>
    <t>Барнаул</t>
  </si>
  <si>
    <t>Барнаул (МСК+4, UTC+7)</t>
  </si>
  <si>
    <t>Басов Дмитрий Сергеевич</t>
  </si>
  <si>
    <t>Безнос Анастасия Николаевна</t>
  </si>
  <si>
    <t>Безьянов Георгий Андреевич</t>
  </si>
  <si>
    <t>Бекирова Милана Серверовна</t>
  </si>
  <si>
    <t>Богданова Влада Сергеевна</t>
  </si>
  <si>
    <t>Васянина Анна Сергеевна</t>
  </si>
  <si>
    <t>Владивосток</t>
  </si>
  <si>
    <t>Владивосток (МСК+7, UTC+10)</t>
  </si>
  <si>
    <t>Волгоград</t>
  </si>
  <si>
    <t>Волгоград (МСК, UTC+3)</t>
  </si>
  <si>
    <t>Ворожбит Полина Сергеевна</t>
  </si>
  <si>
    <t>Горобцов Андрей Юрьевич</t>
  </si>
  <si>
    <t>Грамота</t>
  </si>
  <si>
    <t>Екатеринбург</t>
  </si>
  <si>
    <t>Екатеринбург (МСК+2, UTC+5)</t>
  </si>
  <si>
    <t>Ермоленко Полина Сергеевна</t>
  </si>
  <si>
    <t>Зюбан Мария Алексеевна</t>
  </si>
  <si>
    <t>Ибрагимов Умар Юсуфович</t>
  </si>
  <si>
    <t>Идрисов Тимофей Арсланович</t>
  </si>
  <si>
    <t>Иркутск</t>
  </si>
  <si>
    <t>Иркутск (МСК+5, UTC+8)</t>
  </si>
  <si>
    <t>Исатова Гульмира Ризвановна</t>
  </si>
  <si>
    <t>Калининград</t>
  </si>
  <si>
    <t>Калининград (МСК-1, UTC+2)</t>
  </si>
  <si>
    <t>Камчатка</t>
  </si>
  <si>
    <t>Камчатка (МСК+9, UTC+12)</t>
  </si>
  <si>
    <t>Киров</t>
  </si>
  <si>
    <t>Киров (МСК, UTC+3)</t>
  </si>
  <si>
    <t>Кирьянова Дарья Сергеевна</t>
  </si>
  <si>
    <t>Кобяшева Диана Олеговна</t>
  </si>
  <si>
    <t>Код</t>
  </si>
  <si>
    <t>Козунко Татьяна Анатольевна</t>
  </si>
  <si>
    <t>Красноярск</t>
  </si>
  <si>
    <t>Красноярск (МСК+4, UTC+7)</t>
  </si>
  <si>
    <t>Ксензова Валерия Алексеевна</t>
  </si>
  <si>
    <t>Магадан</t>
  </si>
  <si>
    <t>Магадан (МСК+8, UTC+11)</t>
  </si>
  <si>
    <t>Мазур Мария Андреевна</t>
  </si>
  <si>
    <t>Максимальный балл</t>
  </si>
  <si>
    <t>Матиец Максим Александрович</t>
  </si>
  <si>
    <t>Менсеитова Анифе Сейрановна</t>
  </si>
  <si>
    <t>Митюкляева Елизавета Юрьевна</t>
  </si>
  <si>
    <t>Москва</t>
  </si>
  <si>
    <t>Москва (МСК, UTC+3)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</si>
  <si>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</si>
  <si>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</si>
  <si>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</si>
  <si>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</si>
  <si>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</si>
  <si>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</si>
  <si>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</si>
  <si>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Пашко Егор Анатольевич</t>
  </si>
  <si>
    <t>Пикусь Ангелина Юрьевна</t>
  </si>
  <si>
    <t>Писанко Глеб Денисович</t>
  </si>
  <si>
    <t>Рей Сергей Николаевич</t>
  </si>
  <si>
    <t>Роман Иванов Сергеевич</t>
  </si>
  <si>
    <t>Саган Василиса Сергеевна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</si>
  <si>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</si>
  <si>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</si>
  <si>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</si>
  <si>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</si>
  <si>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</si>
  <si>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</si>
  <si>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Сеитаджиева Мавиле Серверовна</t>
  </si>
  <si>
    <t>Симферополь</t>
  </si>
  <si>
    <t>Симферополь (МСК, UTC+3)</t>
  </si>
  <si>
    <t>Ситникова Мирра Денисовна</t>
  </si>
  <si>
    <t>Склярова Валентина Викторовна</t>
  </si>
  <si>
    <t>Список участников появится после окончания олимпиады, если они будут</t>
  </si>
  <si>
    <t>Среднеколымск</t>
  </si>
  <si>
    <t>Среднеколымск (МСК+8, UTC+11)</t>
  </si>
  <si>
    <t>Статус</t>
  </si>
  <si>
    <t>Суфянова Сафие Эскендеровна</t>
  </si>
  <si>
    <t>Томск</t>
  </si>
  <si>
    <t>Томск (МСК+4, UTC+7)</t>
  </si>
  <si>
    <t>Ульяновск</t>
  </si>
  <si>
    <t>Ульяновск (МСК+1, UTC+4)</t>
  </si>
  <si>
    <t>Усть-Нера</t>
  </si>
  <si>
    <t>Усть-Нера (МСК+7, UTC+10)</t>
  </si>
  <si>
    <t>ФИО</t>
  </si>
  <si>
    <t>Филь Иван Николаевич</t>
  </si>
  <si>
    <t>Хандыга</t>
  </si>
  <si>
    <t>Хандыга (МСК+6, UTC+9)</t>
  </si>
  <si>
    <t>Хромых Александр Максимович</t>
  </si>
  <si>
    <t>Часовой пояс</t>
  </si>
  <si>
    <t>Чита</t>
  </si>
  <si>
    <t>Чита (МСК+6, UTC+9)</t>
  </si>
  <si>
    <t>Эмирова Зарина Арсеновна</t>
  </si>
  <si>
    <t>Юршин Герман Александрович</t>
  </si>
  <si>
    <t>Ягьяева Адель Тимуровна</t>
  </si>
  <si>
    <t>Ягьяева Эдие Алимовна</t>
  </si>
  <si>
    <t>Якубов Марлен Русланович</t>
  </si>
  <si>
    <t>Якутск</t>
  </si>
  <si>
    <t>Якутск (МСК+6, UTC+9)</t>
  </si>
  <si>
    <t>Ярош Глеб Игоревич</t>
  </si>
  <si>
    <t>иксанов данис рустамович</t>
  </si>
  <si>
    <t>Победитель</t>
  </si>
  <si>
    <t>Призер</t>
  </si>
  <si>
    <t>участник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</si>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</sst>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"/>
    <numFmt numFmtId="165" formatCode="dd\ mmmm\ yyyy\ &quot;в&quot;\ hh:mm"/>
  </numFmts>
  <fonts count="3" x14ac:knownFonts="1">
    <font>
      <sz val="11"/>
      <name val="Calibri"/>
      <family val="2"/>
    </font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65" fontId="1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>
    <row r="1" spans="1:1" x14ac:dyDescent="0.25">
      <c r="A1" s="1" t="s">
        <v>120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abSelected="1" workbookViewId="0">
      <selection activeCell="G16" sqref="G16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2" t="s">
        <v>136</v>
      </c>
      <c r="B1" s="3" t="s">
        <v>95</v>
      </c>
    </row>
    <row r="3" spans="1:8" ht="30" x14ac:dyDescent="0.25">
      <c r="A3" s="2" t="s">
        <v>82</v>
      </c>
      <c r="B3" s="2" t="s">
        <v>131</v>
      </c>
      <c r="C3" s="2" t="s">
        <v>96</v>
      </c>
      <c r="D3" s="2" t="s">
        <v>90</v>
      </c>
      <c r="E3" s="2" t="str">
        <f>"Время начала сессии (" &amp; VLOOKUP($B$1,TimeZones!$A$1:$C$28,3,FALSE) &amp; ")"</f>
        <v>Время начала сессии (Москва)</v>
      </c>
      <c r="F3" s="2" t="str">
        <f>"Время конца сессии (" &amp; VLOOKUP($B$1,TimeZones!$A$1:$C$28,3,FALSE) &amp; ")"</f>
        <v>Время конца сессии (Москва)</v>
      </c>
      <c r="G3" s="2" t="s">
        <v>123</v>
      </c>
      <c r="H3" s="2" t="s">
        <v>64</v>
      </c>
    </row>
    <row r="4" spans="1:8" x14ac:dyDescent="0.25">
      <c r="A4" s="3" t="s">
        <v>3</v>
      </c>
      <c r="B4" s="3" t="s">
        <v>67</v>
      </c>
      <c r="C4" s="4">
        <v>47</v>
      </c>
      <c r="D4" s="4">
        <v>50</v>
      </c>
      <c r="E4" s="5">
        <f>46310.5854660757 + (VLOOKUP($B$1,TimeZones!$A$1:$C$28,2,FALSE))/24</f>
        <v>46310.710466075703</v>
      </c>
      <c r="F4" s="5">
        <f>46310.6687994091 + (VLOOKUP($B$1,TimeZones!$A$1:$C$28,2,FALSE))/24</f>
        <v>46310.793799409097</v>
      </c>
      <c r="G4" s="3" t="s">
        <v>148</v>
      </c>
    </row>
    <row r="5" spans="1:8" x14ac:dyDescent="0.25">
      <c r="A5" s="3" t="s">
        <v>0</v>
      </c>
      <c r="B5" s="3" t="s">
        <v>45</v>
      </c>
      <c r="C5" s="4">
        <v>44</v>
      </c>
      <c r="D5" s="4">
        <v>50</v>
      </c>
      <c r="E5" s="5">
        <f>46310.55563239 + (VLOOKUP($B$1,TimeZones!$A$1:$C$28,2,FALSE))/24</f>
        <v>46310.680632390002</v>
      </c>
      <c r="F5" s="5">
        <f>46310.5777206316 + (VLOOKUP($B$1,TimeZones!$A$1:$C$28,2,FALSE))/24</f>
        <v>46310.702720631598</v>
      </c>
      <c r="G5" s="3" t="s">
        <v>149</v>
      </c>
    </row>
    <row r="6" spans="1:8" x14ac:dyDescent="0.25">
      <c r="A6" s="3" t="s">
        <v>9</v>
      </c>
      <c r="B6" s="3" t="s">
        <v>118</v>
      </c>
      <c r="C6" s="4">
        <v>42.2</v>
      </c>
      <c r="D6" s="4">
        <v>50</v>
      </c>
      <c r="E6" s="5">
        <f>46310.6374016372 + (VLOOKUP($B$1,TimeZones!$A$1:$C$28,2,FALSE))/24</f>
        <v>46310.762401637199</v>
      </c>
      <c r="F6" s="5">
        <f>46310.6472951775 + (VLOOKUP($B$1,TimeZones!$A$1:$C$28,2,FALSE))/24</f>
        <v>46310.772295177499</v>
      </c>
      <c r="G6" s="3" t="s">
        <v>149</v>
      </c>
    </row>
    <row r="7" spans="1:8" x14ac:dyDescent="0.25">
      <c r="A7" s="3" t="s">
        <v>4</v>
      </c>
      <c r="B7" s="3" t="s">
        <v>80</v>
      </c>
      <c r="C7" s="4">
        <v>38</v>
      </c>
      <c r="D7" s="4">
        <v>50</v>
      </c>
      <c r="E7" s="5">
        <f>46310.7031085219 + (VLOOKUP($B$1,TimeZones!$A$1:$C$28,2,FALSE))/24</f>
        <v>46310.828108521899</v>
      </c>
      <c r="F7" s="5">
        <f>46310.7205794567 + (VLOOKUP($B$1,TimeZones!$A$1:$C$28,2,FALSE))/24</f>
        <v>46310.845579456698</v>
      </c>
      <c r="G7" s="3" t="s">
        <v>149</v>
      </c>
    </row>
    <row r="8" spans="1:8" x14ac:dyDescent="0.25">
      <c r="A8" s="3" t="s">
        <v>5</v>
      </c>
      <c r="B8" s="3" t="s">
        <v>89</v>
      </c>
      <c r="C8" s="4">
        <v>37.5</v>
      </c>
      <c r="D8" s="4">
        <v>50</v>
      </c>
      <c r="E8" s="5">
        <f>46310.6173715968 + (VLOOKUP($B$1,TimeZones!$A$1:$C$28,2,FALSE))/24</f>
        <v>46310.742371596803</v>
      </c>
      <c r="F8" s="5">
        <f>46310.646522607 + (VLOOKUP($B$1,TimeZones!$A$1:$C$28,2,FALSE))/24</f>
        <v>46310.771522606999</v>
      </c>
      <c r="G8" s="3" t="s">
        <v>149</v>
      </c>
    </row>
    <row r="9" spans="1:8" x14ac:dyDescent="0.25">
      <c r="A9" s="3" t="s">
        <v>12</v>
      </c>
      <c r="B9" s="3" t="s">
        <v>83</v>
      </c>
      <c r="C9" s="4">
        <v>34.5</v>
      </c>
      <c r="D9" s="4">
        <v>50</v>
      </c>
      <c r="E9" s="5">
        <f>46310.666106595 + (VLOOKUP($B$1,TimeZones!$A$1:$C$28,2,FALSE))/24</f>
        <v>46310.791106595003</v>
      </c>
      <c r="F9" s="5">
        <f>46310.6789832049 + (VLOOKUP($B$1,TimeZones!$A$1:$C$28,2,FALSE))/24</f>
        <v>46310.803983204998</v>
      </c>
      <c r="G9" s="3" t="s">
        <v>149</v>
      </c>
    </row>
    <row r="10" spans="1:8" x14ac:dyDescent="0.25">
      <c r="A10" s="3" t="s">
        <v>6</v>
      </c>
      <c r="B10" s="3" t="s">
        <v>106</v>
      </c>
      <c r="C10" s="4">
        <v>32.200000000000003</v>
      </c>
      <c r="D10" s="4">
        <v>50</v>
      </c>
      <c r="E10" s="5">
        <f>46310.6285053101 + (VLOOKUP($B$1,TimeZones!$A$1:$C$28,2,FALSE))/24</f>
        <v>46310.753505310102</v>
      </c>
      <c r="F10" s="5">
        <f>46310.6490734475 + (VLOOKUP($B$1,TimeZones!$A$1:$C$28,2,FALSE))/24</f>
        <v>46310.774073447501</v>
      </c>
      <c r="G10" s="3" t="s">
        <v>149</v>
      </c>
    </row>
    <row r="11" spans="1:8" x14ac:dyDescent="0.25">
      <c r="A11" s="3" t="s">
        <v>10</v>
      </c>
      <c r="B11" s="3" t="s">
        <v>124</v>
      </c>
      <c r="C11" s="4">
        <v>28.5</v>
      </c>
      <c r="D11" s="4">
        <v>50</v>
      </c>
      <c r="E11" s="5">
        <f>46310.6492801496 + (VLOOKUP($B$1,TimeZones!$A$1:$C$28,2,FALSE))/24</f>
        <v>46310.774280149599</v>
      </c>
      <c r="F11" s="5">
        <f>46310.6606404355 + (VLOOKUP($B$1,TimeZones!$A$1:$C$28,2,FALSE))/24</f>
        <v>46310.785640435497</v>
      </c>
      <c r="G11" s="3" t="s">
        <v>149</v>
      </c>
    </row>
    <row r="12" spans="1:8" x14ac:dyDescent="0.25">
      <c r="A12" s="3" t="s">
        <v>1</v>
      </c>
      <c r="B12" s="3" t="s">
        <v>53</v>
      </c>
      <c r="C12" s="4">
        <v>28</v>
      </c>
      <c r="D12" s="4">
        <v>50</v>
      </c>
      <c r="E12" s="5">
        <f>46310.6615777409 + (VLOOKUP($B$1,TimeZones!$A$1:$C$28,2,FALSE))/24</f>
        <v>46310.786577740902</v>
      </c>
      <c r="F12" s="5">
        <f>46310.7088999598 + (VLOOKUP($B$1,TimeZones!$A$1:$C$28,2,FALSE))/24</f>
        <v>46310.833899959798</v>
      </c>
      <c r="G12" s="3" t="s">
        <v>149</v>
      </c>
    </row>
    <row r="13" spans="1:8" x14ac:dyDescent="0.25">
      <c r="A13" s="3" t="s">
        <v>8</v>
      </c>
      <c r="B13" s="3" t="s">
        <v>139</v>
      </c>
      <c r="C13" s="4">
        <v>27</v>
      </c>
      <c r="D13" s="4">
        <v>50</v>
      </c>
      <c r="E13" s="5">
        <f>46310.6548068523 + (VLOOKUP($B$1,TimeZones!$A$1:$C$28,2,FALSE))/24</f>
        <v>46310.779806852297</v>
      </c>
      <c r="F13" s="5">
        <f>46310.6866435074 + (VLOOKUP($B$1,TimeZones!$A$1:$C$28,2,FALSE))/24</f>
        <v>46310.811643507397</v>
      </c>
      <c r="G13" s="3" t="s">
        <v>149</v>
      </c>
    </row>
    <row r="14" spans="1:8" x14ac:dyDescent="0.25">
      <c r="A14" s="3" t="s">
        <v>7</v>
      </c>
      <c r="B14" s="3" t="s">
        <v>108</v>
      </c>
      <c r="C14" s="4">
        <v>26.5</v>
      </c>
      <c r="D14" s="4">
        <v>50</v>
      </c>
      <c r="E14" s="5">
        <f>46310.7013019218 + (VLOOKUP($B$1,TimeZones!$A$1:$C$28,2,FALSE))/24</f>
        <v>46310.826301921799</v>
      </c>
      <c r="F14" s="5">
        <f>46310.7093954245 + (VLOOKUP($B$1,TimeZones!$A$1:$C$28,2,FALSE))/24</f>
        <v>46310.834395424499</v>
      </c>
      <c r="G14" s="3" t="s">
        <v>149</v>
      </c>
    </row>
    <row r="15" spans="1:8" x14ac:dyDescent="0.25">
      <c r="A15" s="3" t="s">
        <v>11</v>
      </c>
      <c r="B15" s="3" t="s">
        <v>103</v>
      </c>
      <c r="C15" s="4">
        <v>25</v>
      </c>
      <c r="D15" s="4">
        <v>50</v>
      </c>
      <c r="E15" s="5">
        <f>46310.5991251908 + (VLOOKUP($B$1,TimeZones!$A$1:$C$28,2,FALSE))/24</f>
        <v>46310.724125190798</v>
      </c>
      <c r="F15" s="5">
        <f>46310.6138822043 + (VLOOKUP($B$1,TimeZones!$A$1:$C$28,2,FALSE))/24</f>
        <v>46310.738882204299</v>
      </c>
      <c r="G15" s="3" t="s">
        <v>151</v>
      </c>
    </row>
    <row r="16" spans="1:8" x14ac:dyDescent="0.25">
      <c r="A16" s="3" t="s">
        <v>2</v>
      </c>
      <c r="B16" s="3" t="s">
        <v>143</v>
      </c>
      <c r="C16" s="4">
        <v>7</v>
      </c>
      <c r="D16" s="4">
        <v>50</v>
      </c>
      <c r="E16" s="5">
        <f>46310.6972044377 + (VLOOKUP($B$1,TimeZones!$A$1:$C$28,2,FALSE))/24</f>
        <v>46310.822204437703</v>
      </c>
      <c r="F16" s="5">
        <f>46310.7150730523 + (VLOOKUP($B$1,TimeZones!$A$1:$C$28,2,FALSE))/24</f>
        <v>46310.840073052299</v>
      </c>
      <c r="G16" s="3" t="s">
        <v>151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G18" sqref="G18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2" t="s">
        <v>136</v>
      </c>
      <c r="B1" s="3" t="s">
        <v>95</v>
      </c>
    </row>
    <row r="3" spans="1:8" ht="30" x14ac:dyDescent="0.25">
      <c r="A3" s="2" t="s">
        <v>82</v>
      </c>
      <c r="B3" s="2" t="s">
        <v>131</v>
      </c>
      <c r="C3" s="2" t="s">
        <v>96</v>
      </c>
      <c r="D3" s="2" t="s">
        <v>90</v>
      </c>
      <c r="E3" s="2" t="str">
        <f>"Время начала сессии (" &amp; VLOOKUP($B$1,TimeZones!$A$1:$C$28,3,FALSE) &amp; ")"</f>
        <v>Время начала сессии (Москва)</v>
      </c>
      <c r="F3" s="2" t="str">
        <f>"Время конца сессии (" &amp; VLOOKUP($B$1,TimeZones!$A$1:$C$28,3,FALSE) &amp; ")"</f>
        <v>Время конца сессии (Москва)</v>
      </c>
      <c r="G3" s="2" t="s">
        <v>123</v>
      </c>
      <c r="H3" s="2" t="s">
        <v>64</v>
      </c>
    </row>
    <row r="4" spans="1:8" x14ac:dyDescent="0.25">
      <c r="A4" s="3" t="s">
        <v>22</v>
      </c>
      <c r="B4" s="3" t="s">
        <v>107</v>
      </c>
      <c r="C4" s="4">
        <v>44</v>
      </c>
      <c r="D4" s="4">
        <v>50</v>
      </c>
      <c r="E4" s="5">
        <f>46310.7681968378 + (VLOOKUP($B$1,TimeZones!$A$1:$C$28,2,FALSE))/24</f>
        <v>46310.893196837802</v>
      </c>
      <c r="F4" s="5">
        <f>46310.7809695271 + (VLOOKUP($B$1,TimeZones!$A$1:$C$28,2,FALSE))/24</f>
        <v>46310.905969527099</v>
      </c>
      <c r="G4" s="3" t="s">
        <v>148</v>
      </c>
    </row>
    <row r="5" spans="1:8" x14ac:dyDescent="0.25">
      <c r="A5" s="3" t="s">
        <v>23</v>
      </c>
      <c r="B5" s="3" t="s">
        <v>57</v>
      </c>
      <c r="C5" s="4">
        <v>43</v>
      </c>
      <c r="D5" s="4">
        <v>50</v>
      </c>
      <c r="E5" s="5">
        <f>46310.7751746773 + (VLOOKUP($B$1,TimeZones!$A$1:$C$28,2,FALSE))/24</f>
        <v>46310.900174677299</v>
      </c>
      <c r="F5" s="5">
        <f>46310.7900729077 + (VLOOKUP($B$1,TimeZones!$A$1:$C$28,2,FALSE))/24</f>
        <v>46310.915072907701</v>
      </c>
      <c r="G5" s="3" t="s">
        <v>149</v>
      </c>
    </row>
    <row r="6" spans="1:8" x14ac:dyDescent="0.25">
      <c r="A6" s="3" t="s">
        <v>17</v>
      </c>
      <c r="B6" s="3" t="s">
        <v>54</v>
      </c>
      <c r="C6" s="4">
        <v>41</v>
      </c>
      <c r="D6" s="4">
        <v>50</v>
      </c>
      <c r="E6" s="5">
        <f>46310.7338467011 + (VLOOKUP($B$1,TimeZones!$A$1:$C$28,2,FALSE))/24</f>
        <v>46310.8588467011</v>
      </c>
      <c r="F6" s="5">
        <f>46310.7458950071 + (VLOOKUP($B$1,TimeZones!$A$1:$C$28,2,FALSE))/24</f>
        <v>46310.870895007101</v>
      </c>
      <c r="G6" s="3" t="s">
        <v>149</v>
      </c>
    </row>
    <row r="7" spans="1:8" x14ac:dyDescent="0.25">
      <c r="A7" s="3" t="s">
        <v>24</v>
      </c>
      <c r="B7" s="3" t="s">
        <v>68</v>
      </c>
      <c r="C7" s="4">
        <v>39</v>
      </c>
      <c r="D7" s="4">
        <v>50</v>
      </c>
      <c r="E7" s="5">
        <f>46310.6340502362 + (VLOOKUP($B$1,TimeZones!$A$1:$C$28,2,FALSE))/24</f>
        <v>46310.7590502362</v>
      </c>
      <c r="F7" s="5">
        <f>46310.6613288725 + (VLOOKUP($B$1,TimeZones!$A$1:$C$28,2,FALSE))/24</f>
        <v>46310.786328872498</v>
      </c>
      <c r="G7" s="3" t="s">
        <v>149</v>
      </c>
    </row>
    <row r="8" spans="1:8" x14ac:dyDescent="0.25">
      <c r="A8" s="3" t="s">
        <v>19</v>
      </c>
      <c r="B8" s="3" t="s">
        <v>93</v>
      </c>
      <c r="C8" s="4">
        <v>37</v>
      </c>
      <c r="D8" s="4">
        <v>50</v>
      </c>
      <c r="E8" s="5">
        <f>46310.6334853728 + (VLOOKUP($B$1,TimeZones!$A$1:$C$28,2,FALSE))/24</f>
        <v>46310.758485372797</v>
      </c>
      <c r="F8" s="5">
        <f>46310.650894137 + (VLOOKUP($B$1,TimeZones!$A$1:$C$28,2,FALSE))/24</f>
        <v>46310.775894136998</v>
      </c>
      <c r="G8" s="3" t="s">
        <v>149</v>
      </c>
    </row>
    <row r="9" spans="1:8" x14ac:dyDescent="0.25">
      <c r="A9" s="3" t="s">
        <v>25</v>
      </c>
      <c r="B9" s="3" t="s">
        <v>105</v>
      </c>
      <c r="C9" s="4">
        <v>28.5</v>
      </c>
      <c r="D9" s="4">
        <v>50</v>
      </c>
      <c r="E9" s="5">
        <f>46310.7844786933 + (VLOOKUP($B$1,TimeZones!$A$1:$C$28,2,FALSE))/24</f>
        <v>46310.909478693298</v>
      </c>
      <c r="F9" s="5">
        <f>46310.7916666667 + (VLOOKUP($B$1,TimeZones!$A$1:$C$28,2,FALSE))/24</f>
        <v>46310.916666666701</v>
      </c>
      <c r="G9" s="3" t="s">
        <v>149</v>
      </c>
    </row>
    <row r="10" spans="1:8" x14ac:dyDescent="0.25">
      <c r="A10" s="3" t="s">
        <v>18</v>
      </c>
      <c r="B10" s="3" t="s">
        <v>44</v>
      </c>
      <c r="C10" s="4">
        <v>27</v>
      </c>
      <c r="D10" s="4">
        <v>50</v>
      </c>
      <c r="E10" s="5">
        <f>46310.6947249183 + (VLOOKUP($B$1,TimeZones!$A$1:$C$28,2,FALSE))/24</f>
        <v>46310.819724918299</v>
      </c>
      <c r="F10" s="5">
        <f>46310.7058394824 + (VLOOKUP($B$1,TimeZones!$A$1:$C$28,2,FALSE))/24</f>
        <v>46310.830839482398</v>
      </c>
      <c r="G10" s="3" t="s">
        <v>149</v>
      </c>
    </row>
    <row r="11" spans="1:8" x14ac:dyDescent="0.25">
      <c r="A11" s="3" t="s">
        <v>16</v>
      </c>
      <c r="B11" s="3" t="s">
        <v>73</v>
      </c>
      <c r="C11" s="4">
        <v>21</v>
      </c>
      <c r="D11" s="4">
        <v>50</v>
      </c>
      <c r="E11" s="5">
        <f>46310.6086906754 + (VLOOKUP($B$1,TimeZones!$A$1:$C$28,2,FALSE))/24</f>
        <v>46310.733690675399</v>
      </c>
      <c r="F11" s="5">
        <f>46310.6139252761 + (VLOOKUP($B$1,TimeZones!$A$1:$C$28,2,FALSE))/24</f>
        <v>46310.738925276099</v>
      </c>
      <c r="G11" s="3" t="s">
        <v>151</v>
      </c>
    </row>
    <row r="12" spans="1:8" x14ac:dyDescent="0.25">
      <c r="A12" s="3" t="s">
        <v>13</v>
      </c>
      <c r="B12" s="3" t="s">
        <v>147</v>
      </c>
      <c r="C12" s="4">
        <v>20</v>
      </c>
      <c r="D12" s="4">
        <v>50</v>
      </c>
      <c r="E12" s="5">
        <f>46310.76737429 + (VLOOKUP($B$1,TimeZones!$A$1:$C$28,2,FALSE))/24</f>
        <v>46310.892374290001</v>
      </c>
      <c r="F12" s="5">
        <f>46310.7800606352 + (VLOOKUP($B$1,TimeZones!$A$1:$C$28,2,FALSE))/24</f>
        <v>46310.905060635203</v>
      </c>
      <c r="G12" s="3" t="s">
        <v>151</v>
      </c>
    </row>
    <row r="13" spans="1:8" x14ac:dyDescent="0.25">
      <c r="A13" s="3" t="s">
        <v>20</v>
      </c>
      <c r="B13" s="3" t="s">
        <v>146</v>
      </c>
      <c r="C13" s="4">
        <v>18</v>
      </c>
      <c r="D13" s="4">
        <v>50</v>
      </c>
      <c r="E13" s="5">
        <f>46310.7086194548 + (VLOOKUP($B$1,TimeZones!$A$1:$C$28,2,FALSE))/24</f>
        <v>46310.833619454803</v>
      </c>
      <c r="F13" s="5">
        <f>46310.7367372567 + (VLOOKUP($B$1,TimeZones!$A$1:$C$28,2,FALSE))/24</f>
        <v>46310.861737256702</v>
      </c>
      <c r="G13" s="3" t="s">
        <v>151</v>
      </c>
    </row>
    <row r="14" spans="1:8" x14ac:dyDescent="0.25">
      <c r="A14" s="3" t="s">
        <v>21</v>
      </c>
      <c r="B14" s="3" t="s">
        <v>81</v>
      </c>
      <c r="C14" s="4">
        <v>17</v>
      </c>
      <c r="D14" s="4">
        <v>50</v>
      </c>
      <c r="E14" s="5">
        <f>46310.7569746209 + (VLOOKUP($B$1,TimeZones!$A$1:$C$28,2,FALSE))/24</f>
        <v>46310.881974620897</v>
      </c>
      <c r="F14" s="5">
        <f>46310.7723986849 + (VLOOKUP($B$1,TimeZones!$A$1:$C$28,2,FALSE))/24</f>
        <v>46310.897398684901</v>
      </c>
      <c r="G14" s="3" t="s">
        <v>151</v>
      </c>
    </row>
    <row r="15" spans="1:8" x14ac:dyDescent="0.25">
      <c r="A15" s="3" t="s">
        <v>14</v>
      </c>
      <c r="B15" s="3" t="s">
        <v>119</v>
      </c>
      <c r="C15" s="4">
        <v>9</v>
      </c>
      <c r="D15" s="4">
        <v>50</v>
      </c>
      <c r="E15" s="5">
        <f>46310.6400720061 + (VLOOKUP($B$1,TimeZones!$A$1:$C$28,2,FALSE))/24</f>
        <v>46310.765072006099</v>
      </c>
      <c r="F15" s="5">
        <f>46310.659977581 + (VLOOKUP($B$1,TimeZones!$A$1:$C$28,2,FALSE))/24</f>
        <v>46310.784977581003</v>
      </c>
      <c r="G15" s="3" t="s">
        <v>151</v>
      </c>
    </row>
    <row r="16" spans="1:8" x14ac:dyDescent="0.25">
      <c r="A16" s="3" t="s">
        <v>15</v>
      </c>
      <c r="B16" s="3" t="s">
        <v>69</v>
      </c>
      <c r="C16" s="4">
        <v>0</v>
      </c>
      <c r="D16" s="4">
        <v>50</v>
      </c>
      <c r="E16" s="5">
        <f>46310.7909339715 + (VLOOKUP($B$1,TimeZones!$A$1:$C$28,2,FALSE))/24</f>
        <v>46310.915933971497</v>
      </c>
      <c r="F16" s="5">
        <f>46310.7916666667 + (VLOOKUP($B$1,TimeZones!$A$1:$C$28,2,FALSE))/24</f>
        <v>46310.916666666701</v>
      </c>
      <c r="G16" s="3" t="s">
        <v>151</v>
      </c>
    </row>
    <row r="17" spans="1:7" x14ac:dyDescent="0.25">
      <c r="A17" s="3" t="s">
        <v>26</v>
      </c>
      <c r="B17" s="3" t="s">
        <v>92</v>
      </c>
      <c r="C17" s="4">
        <v>0</v>
      </c>
      <c r="D17" s="4">
        <v>50</v>
      </c>
      <c r="E17" s="5">
        <f>46310.7860531058 + (VLOOKUP($B$1,TimeZones!$A$1:$C$28,2,FALSE))/24</f>
        <v>46310.911053105803</v>
      </c>
      <c r="F17" s="5">
        <f>46310.7916666667 + (VLOOKUP($B$1,TimeZones!$A$1:$C$28,2,FALSE))/24</f>
        <v>46310.916666666701</v>
      </c>
      <c r="G17" s="3" t="s">
        <v>151</v>
      </c>
    </row>
    <row r="18" spans="1:7" x14ac:dyDescent="0.25">
      <c r="G18" s="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workbookViewId="0">
      <selection activeCell="G15" sqref="G15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2" t="s">
        <v>136</v>
      </c>
      <c r="B1" s="3" t="s">
        <v>95</v>
      </c>
    </row>
    <row r="3" spans="1:8" ht="30" x14ac:dyDescent="0.25">
      <c r="A3" s="2" t="s">
        <v>82</v>
      </c>
      <c r="B3" s="2" t="s">
        <v>131</v>
      </c>
      <c r="C3" s="2" t="s">
        <v>96</v>
      </c>
      <c r="D3" s="2" t="s">
        <v>90</v>
      </c>
      <c r="E3" s="2" t="str">
        <f>"Время начала сессии (" &amp; VLOOKUP($B$1,TimeZones!$A$1:$C$28,3,FALSE) &amp; ")"</f>
        <v>Время начала сессии (Москва)</v>
      </c>
      <c r="F3" s="2" t="str">
        <f>"Время конца сессии (" &amp; VLOOKUP($B$1,TimeZones!$A$1:$C$28,3,FALSE) &amp; ")"</f>
        <v>Время конца сессии (Москва)</v>
      </c>
      <c r="G3" s="2" t="s">
        <v>123</v>
      </c>
      <c r="H3" s="2" t="s">
        <v>64</v>
      </c>
    </row>
    <row r="4" spans="1:8" x14ac:dyDescent="0.25">
      <c r="A4" s="3" t="s">
        <v>34</v>
      </c>
      <c r="B4" s="3" t="s">
        <v>86</v>
      </c>
      <c r="C4" s="4">
        <v>48</v>
      </c>
      <c r="D4" s="4">
        <v>50</v>
      </c>
      <c r="E4" s="5">
        <f>46310.5967543059 + (VLOOKUP($B$1,TimeZones!$A$1:$C$28,2,FALSE))/24</f>
        <v>46310.721754305901</v>
      </c>
      <c r="F4" s="5">
        <f>46310.6138603341 + (VLOOKUP($B$1,TimeZones!$A$1:$C$28,2,FALSE))/24</f>
        <v>46310.738860334102</v>
      </c>
      <c r="G4" s="3" t="s">
        <v>148</v>
      </c>
    </row>
    <row r="5" spans="1:8" x14ac:dyDescent="0.25">
      <c r="A5" s="3" t="s">
        <v>27</v>
      </c>
      <c r="B5" s="3" t="s">
        <v>141</v>
      </c>
      <c r="C5" s="4">
        <v>44.5</v>
      </c>
      <c r="D5" s="4">
        <v>50</v>
      </c>
      <c r="E5" s="5">
        <f>46310.7223086449 + (VLOOKUP($B$1,TimeZones!$A$1:$C$28,2,FALSE))/24</f>
        <v>46310.847308644901</v>
      </c>
      <c r="F5" s="5">
        <f>46310.744439244 + (VLOOKUP($B$1,TimeZones!$A$1:$C$28,2,FALSE))/24</f>
        <v>46310.869439244001</v>
      </c>
      <c r="G5" s="3" t="s">
        <v>149</v>
      </c>
    </row>
    <row r="6" spans="1:8" x14ac:dyDescent="0.25">
      <c r="A6" s="3" t="s">
        <v>36</v>
      </c>
      <c r="B6" s="3" t="s">
        <v>91</v>
      </c>
      <c r="C6" s="4">
        <v>44</v>
      </c>
      <c r="D6" s="4">
        <v>50</v>
      </c>
      <c r="E6" s="5">
        <f>46310.6195805629 + (VLOOKUP($B$1,TimeZones!$A$1:$C$28,2,FALSE))/24</f>
        <v>46310.744580562903</v>
      </c>
      <c r="F6" s="5">
        <f>46310.7029138962 + (VLOOKUP($B$1,TimeZones!$A$1:$C$28,2,FALSE))/24</f>
        <v>46310.827913896203</v>
      </c>
      <c r="G6" s="3" t="s">
        <v>149</v>
      </c>
    </row>
    <row r="7" spans="1:8" x14ac:dyDescent="0.25">
      <c r="A7" s="3" t="s">
        <v>31</v>
      </c>
      <c r="B7" s="3" t="s">
        <v>52</v>
      </c>
      <c r="C7" s="4">
        <v>43.5</v>
      </c>
      <c r="D7" s="4">
        <v>50</v>
      </c>
      <c r="E7" s="5">
        <f>46310.7031633372 + (VLOOKUP($B$1,TimeZones!$A$1:$C$28,2,FALSE))/24</f>
        <v>46310.828163337203</v>
      </c>
      <c r="F7" s="5">
        <f>46310.7097775436 + (VLOOKUP($B$1,TimeZones!$A$1:$C$28,2,FALSE))/24</f>
        <v>46310.834777543598</v>
      </c>
      <c r="G7" s="3" t="s">
        <v>149</v>
      </c>
    </row>
    <row r="8" spans="1:8" x14ac:dyDescent="0.25">
      <c r="A8" s="3" t="s">
        <v>33</v>
      </c>
      <c r="B8" s="3" t="s">
        <v>142</v>
      </c>
      <c r="C8" s="4">
        <v>42.5</v>
      </c>
      <c r="D8" s="4">
        <v>50</v>
      </c>
      <c r="E8" s="5">
        <f>46310.5658383399 + (VLOOKUP($B$1,TimeZones!$A$1:$C$28,2,FALSE))/24</f>
        <v>46310.690838339899</v>
      </c>
      <c r="F8" s="5">
        <f>46310.5821010921 + (VLOOKUP($B$1,TimeZones!$A$1:$C$28,2,FALSE))/24</f>
        <v>46310.707101092099</v>
      </c>
      <c r="G8" s="3" t="s">
        <v>149</v>
      </c>
    </row>
    <row r="9" spans="1:8" x14ac:dyDescent="0.25">
      <c r="A9" s="3" t="s">
        <v>30</v>
      </c>
      <c r="B9" s="3" t="s">
        <v>115</v>
      </c>
      <c r="C9" s="4">
        <v>41.5</v>
      </c>
      <c r="D9" s="4">
        <v>50</v>
      </c>
      <c r="E9" s="5">
        <f>46310.5678110128 + (VLOOKUP($B$1,TimeZones!$A$1:$C$28,2,FALSE))/24</f>
        <v>46310.692811012799</v>
      </c>
      <c r="F9" s="5">
        <f>46310.5820988479 + (VLOOKUP($B$1,TimeZones!$A$1:$C$28,2,FALSE))/24</f>
        <v>46310.707098847903</v>
      </c>
      <c r="G9" s="3" t="s">
        <v>149</v>
      </c>
    </row>
    <row r="10" spans="1:8" x14ac:dyDescent="0.25">
      <c r="A10" s="3" t="s">
        <v>32</v>
      </c>
      <c r="B10" s="3" t="s">
        <v>132</v>
      </c>
      <c r="C10" s="4">
        <v>41.5</v>
      </c>
      <c r="D10" s="4">
        <v>50</v>
      </c>
      <c r="E10" s="5">
        <f>46310.7550761654 + (VLOOKUP($B$1,TimeZones!$A$1:$C$28,2,FALSE))/24</f>
        <v>46310.880076165398</v>
      </c>
      <c r="F10" s="5">
        <f>46310.7840818304 + (VLOOKUP($B$1,TimeZones!$A$1:$C$28,2,FALSE))/24</f>
        <v>46310.909081830403</v>
      </c>
      <c r="G10" s="3" t="s">
        <v>149</v>
      </c>
    </row>
    <row r="11" spans="1:8" x14ac:dyDescent="0.25">
      <c r="A11" s="3" t="s">
        <v>35</v>
      </c>
      <c r="B11" s="3" t="s">
        <v>63</v>
      </c>
      <c r="C11" s="4">
        <v>37.6</v>
      </c>
      <c r="D11" s="4">
        <v>50</v>
      </c>
      <c r="E11" s="5">
        <f>46310.6934058893 + (VLOOKUP($B$1,TimeZones!$A$1:$C$28,2,FALSE))/24</f>
        <v>46310.818405889302</v>
      </c>
      <c r="F11" s="5">
        <f>46310.7391597612 + (VLOOKUP($B$1,TimeZones!$A$1:$C$28,2,FALSE))/24</f>
        <v>46310.8641597612</v>
      </c>
      <c r="G11" s="3" t="s">
        <v>149</v>
      </c>
    </row>
    <row r="12" spans="1:8" x14ac:dyDescent="0.25">
      <c r="A12" s="3" t="s">
        <v>37</v>
      </c>
      <c r="B12" s="3" t="s">
        <v>135</v>
      </c>
      <c r="C12" s="4">
        <v>33.6</v>
      </c>
      <c r="D12" s="4">
        <v>50</v>
      </c>
      <c r="E12" s="5">
        <f>46310.5897055719 + (VLOOKUP($B$1,TimeZones!$A$1:$C$28,2,FALSE))/24</f>
        <v>46310.714705571903</v>
      </c>
      <c r="F12" s="5">
        <f>46310.6462893403 + (VLOOKUP($B$1,TimeZones!$A$1:$C$28,2,FALSE))/24</f>
        <v>46310.7712893403</v>
      </c>
      <c r="G12" s="3" t="s">
        <v>149</v>
      </c>
    </row>
    <row r="13" spans="1:8" x14ac:dyDescent="0.25">
      <c r="A13" s="3" t="s">
        <v>29</v>
      </c>
      <c r="B13" s="3" t="s">
        <v>140</v>
      </c>
      <c r="C13" s="4">
        <v>24</v>
      </c>
      <c r="D13" s="4">
        <v>50</v>
      </c>
      <c r="E13" s="5">
        <f>46310.726821187 + (VLOOKUP($B$1,TimeZones!$A$1:$C$28,2,FALSE))/24</f>
        <v>46310.851821187003</v>
      </c>
      <c r="F13" s="5">
        <f>46310.7326048 + (VLOOKUP($B$1,TimeZones!$A$1:$C$28,2,FALSE))/24</f>
        <v>46310.857604800003</v>
      </c>
      <c r="G13" s="3" t="s">
        <v>150</v>
      </c>
    </row>
    <row r="14" spans="1:8" x14ac:dyDescent="0.25">
      <c r="A14" s="3" t="s">
        <v>28</v>
      </c>
      <c r="B14" s="3" t="s">
        <v>62</v>
      </c>
      <c r="C14" s="4">
        <v>18.899999999999999</v>
      </c>
      <c r="D14" s="4">
        <v>50</v>
      </c>
      <c r="E14" s="5">
        <f>46310.7445331779 + (VLOOKUP($B$1,TimeZones!$A$1:$C$28,2,FALSE))/24</f>
        <v>46310.869533177902</v>
      </c>
      <c r="F14" s="5">
        <f>46310.7657743314 + (VLOOKUP($B$1,TimeZones!$A$1:$C$28,2,FALSE))/24</f>
        <v>46310.890774331398</v>
      </c>
      <c r="G14" s="3" t="s">
        <v>150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workbookViewId="0">
      <selection activeCell="G8" sqref="G8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2" t="s">
        <v>136</v>
      </c>
      <c r="B1" s="3" t="s">
        <v>95</v>
      </c>
    </row>
    <row r="3" spans="1:8" ht="30" x14ac:dyDescent="0.25">
      <c r="A3" s="2" t="s">
        <v>82</v>
      </c>
      <c r="B3" s="2" t="s">
        <v>131</v>
      </c>
      <c r="C3" s="2" t="s">
        <v>96</v>
      </c>
      <c r="D3" s="2" t="s">
        <v>90</v>
      </c>
      <c r="E3" s="2" t="str">
        <f>"Время начала сессии (" &amp; VLOOKUP($B$1,TimeZones!$A$1:$C$28,3,FALSE) &amp; ")"</f>
        <v>Время начала сессии (Москва)</v>
      </c>
      <c r="F3" s="2" t="str">
        <f>"Время конца сессии (" &amp; VLOOKUP($B$1,TimeZones!$A$1:$C$28,3,FALSE) &amp; ")"</f>
        <v>Время конца сессии (Москва)</v>
      </c>
      <c r="G3" s="2" t="s">
        <v>123</v>
      </c>
      <c r="H3" s="2" t="s">
        <v>64</v>
      </c>
    </row>
    <row r="4" spans="1:8" x14ac:dyDescent="0.25">
      <c r="A4" s="3" t="s">
        <v>39</v>
      </c>
      <c r="B4" s="3" t="s">
        <v>56</v>
      </c>
      <c r="C4" s="4">
        <v>42</v>
      </c>
      <c r="D4" s="4">
        <v>50</v>
      </c>
      <c r="E4" s="5">
        <f>46310.7101543151 + (VLOOKUP($B$1,TimeZones!$A$1:$C$28,2,FALSE))/24</f>
        <v>46310.8351543151</v>
      </c>
      <c r="F4" s="5">
        <f>46310.7412249041 + (VLOOKUP($B$1,TimeZones!$A$1:$C$28,2,FALSE))/24</f>
        <v>46310.866224904101</v>
      </c>
      <c r="G4" s="3" t="s">
        <v>148</v>
      </c>
    </row>
    <row r="5" spans="1:8" x14ac:dyDescent="0.25">
      <c r="A5" s="3" t="s">
        <v>40</v>
      </c>
      <c r="B5" s="3" t="s">
        <v>55</v>
      </c>
      <c r="C5" s="4">
        <v>41</v>
      </c>
      <c r="D5" s="4">
        <v>50</v>
      </c>
      <c r="E5" s="5">
        <f>46310.5729485812 + (VLOOKUP($B$1,TimeZones!$A$1:$C$28,2,FALSE))/24</f>
        <v>46310.697948581197</v>
      </c>
      <c r="F5" s="5">
        <f>46310.5942907954 + (VLOOKUP($B$1,TimeZones!$A$1:$C$28,2,FALSE))/24</f>
        <v>46310.719290795401</v>
      </c>
      <c r="G5" s="3" t="s">
        <v>149</v>
      </c>
    </row>
    <row r="6" spans="1:8" x14ac:dyDescent="0.25">
      <c r="A6" s="3" t="s">
        <v>41</v>
      </c>
      <c r="B6" s="3" t="s">
        <v>104</v>
      </c>
      <c r="C6" s="4">
        <v>28</v>
      </c>
      <c r="D6" s="4">
        <v>50</v>
      </c>
      <c r="E6" s="5">
        <f>46310.7404952728 + (VLOOKUP($B$1,TimeZones!$A$1:$C$28,2,FALSE))/24</f>
        <v>46310.865495272803</v>
      </c>
      <c r="F6" s="5">
        <f>46310.7544363321 + (VLOOKUP($B$1,TimeZones!$A$1:$C$28,2,FALSE))/24</f>
        <v>46310.879436332099</v>
      </c>
      <c r="G6" s="3" t="s">
        <v>151</v>
      </c>
    </row>
    <row r="7" spans="1:8" x14ac:dyDescent="0.25">
      <c r="A7" s="3" t="s">
        <v>38</v>
      </c>
      <c r="B7" s="3" t="s">
        <v>70</v>
      </c>
      <c r="C7" s="4">
        <v>23</v>
      </c>
      <c r="D7" s="4">
        <v>50</v>
      </c>
      <c r="E7" s="5">
        <f>46310.7110149009 + (VLOOKUP($B$1,TimeZones!$A$1:$C$28,2,FALSE))/24</f>
        <v>46310.836014900902</v>
      </c>
      <c r="F7" s="5">
        <f>46310.7407575208 + (VLOOKUP($B$1,TimeZones!$A$1:$C$28,2,FALSE))/24</f>
        <v>46310.865757520798</v>
      </c>
      <c r="G7" s="3" t="s">
        <v>151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/>
  </sheetViews>
  <sheetFormatPr defaultRowHeight="15" x14ac:dyDescent="0.25"/>
  <cols>
    <col min="1" max="1" width="139.140625" customWidth="1"/>
    <col min="2" max="2" width="34.85546875" customWidth="1"/>
    <col min="3" max="3" width="92.85546875" customWidth="1"/>
  </cols>
  <sheetData>
    <row r="1" spans="1:3" x14ac:dyDescent="0.25">
      <c r="A1" s="3" t="s">
        <v>43</v>
      </c>
      <c r="B1" s="3">
        <v>0</v>
      </c>
      <c r="C1" s="3" t="s">
        <v>42</v>
      </c>
    </row>
    <row r="2" spans="1:3" x14ac:dyDescent="0.25">
      <c r="A2" s="3" t="s">
        <v>75</v>
      </c>
      <c r="B2" s="3">
        <v>2</v>
      </c>
      <c r="C2" s="3" t="s">
        <v>74</v>
      </c>
    </row>
    <row r="3" spans="1:3" x14ac:dyDescent="0.25">
      <c r="A3" s="3" t="s">
        <v>95</v>
      </c>
      <c r="B3" s="3">
        <v>3</v>
      </c>
      <c r="C3" s="3" t="s">
        <v>94</v>
      </c>
    </row>
    <row r="4" spans="1:3" x14ac:dyDescent="0.25">
      <c r="A4" s="3" t="s">
        <v>117</v>
      </c>
      <c r="B4" s="3">
        <v>3</v>
      </c>
      <c r="C4" s="3" t="s">
        <v>116</v>
      </c>
    </row>
    <row r="5" spans="1:3" x14ac:dyDescent="0.25">
      <c r="A5" s="3" t="s">
        <v>79</v>
      </c>
      <c r="B5" s="3">
        <v>3</v>
      </c>
      <c r="C5" s="3" t="s">
        <v>78</v>
      </c>
    </row>
    <row r="6" spans="1:3" x14ac:dyDescent="0.25">
      <c r="A6" s="3" t="s">
        <v>61</v>
      </c>
      <c r="B6" s="3">
        <v>3</v>
      </c>
      <c r="C6" s="3" t="s">
        <v>60</v>
      </c>
    </row>
    <row r="7" spans="1:3" x14ac:dyDescent="0.25">
      <c r="A7" s="3" t="s">
        <v>49</v>
      </c>
      <c r="B7" s="3">
        <v>4</v>
      </c>
      <c r="C7" s="3" t="s">
        <v>48</v>
      </c>
    </row>
    <row r="8" spans="1:3" x14ac:dyDescent="0.25">
      <c r="A8" s="3" t="s">
        <v>112</v>
      </c>
      <c r="B8" s="3">
        <v>4</v>
      </c>
      <c r="C8" s="3" t="s">
        <v>111</v>
      </c>
    </row>
    <row r="9" spans="1:3" x14ac:dyDescent="0.25">
      <c r="A9" s="3" t="s">
        <v>128</v>
      </c>
      <c r="B9" s="3">
        <v>4</v>
      </c>
      <c r="C9" s="3" t="s">
        <v>127</v>
      </c>
    </row>
    <row r="10" spans="1:3" x14ac:dyDescent="0.25">
      <c r="A10" s="3" t="s">
        <v>110</v>
      </c>
      <c r="B10" s="3">
        <v>4</v>
      </c>
      <c r="C10" s="3" t="s">
        <v>109</v>
      </c>
    </row>
    <row r="11" spans="1:3" x14ac:dyDescent="0.25">
      <c r="A11" s="3" t="s">
        <v>66</v>
      </c>
      <c r="B11" s="3">
        <v>5</v>
      </c>
      <c r="C11" s="3" t="s">
        <v>65</v>
      </c>
    </row>
    <row r="12" spans="1:3" x14ac:dyDescent="0.25">
      <c r="A12" s="3" t="s">
        <v>102</v>
      </c>
      <c r="B12" s="3">
        <v>6</v>
      </c>
      <c r="C12" s="3" t="s">
        <v>101</v>
      </c>
    </row>
    <row r="13" spans="1:3" x14ac:dyDescent="0.25">
      <c r="A13" s="3" t="s">
        <v>100</v>
      </c>
      <c r="B13" s="3">
        <v>7</v>
      </c>
      <c r="C13" s="3" t="s">
        <v>99</v>
      </c>
    </row>
    <row r="14" spans="1:3" x14ac:dyDescent="0.25">
      <c r="A14" s="3" t="s">
        <v>51</v>
      </c>
      <c r="B14" s="3">
        <v>7</v>
      </c>
      <c r="C14" s="3" t="s">
        <v>50</v>
      </c>
    </row>
    <row r="15" spans="1:3" x14ac:dyDescent="0.25">
      <c r="A15" s="3" t="s">
        <v>126</v>
      </c>
      <c r="B15" s="3">
        <v>7</v>
      </c>
      <c r="C15" s="3" t="s">
        <v>125</v>
      </c>
    </row>
    <row r="16" spans="1:3" x14ac:dyDescent="0.25">
      <c r="A16" s="3" t="s">
        <v>98</v>
      </c>
      <c r="B16" s="3">
        <v>7</v>
      </c>
      <c r="C16" s="3" t="s">
        <v>97</v>
      </c>
    </row>
    <row r="17" spans="1:3" x14ac:dyDescent="0.25">
      <c r="A17" s="3" t="s">
        <v>85</v>
      </c>
      <c r="B17" s="3">
        <v>7</v>
      </c>
      <c r="C17" s="3" t="s">
        <v>84</v>
      </c>
    </row>
    <row r="18" spans="1:3" x14ac:dyDescent="0.25">
      <c r="A18" s="3" t="s">
        <v>72</v>
      </c>
      <c r="B18" s="3">
        <v>8</v>
      </c>
      <c r="C18" s="3" t="s">
        <v>71</v>
      </c>
    </row>
    <row r="19" spans="1:3" x14ac:dyDescent="0.25">
      <c r="A19" s="3" t="s">
        <v>138</v>
      </c>
      <c r="B19" s="3">
        <v>9</v>
      </c>
      <c r="C19" s="3" t="s">
        <v>137</v>
      </c>
    </row>
    <row r="20" spans="1:3" x14ac:dyDescent="0.25">
      <c r="A20" s="3" t="s">
        <v>145</v>
      </c>
      <c r="B20" s="3">
        <v>9</v>
      </c>
      <c r="C20" s="3" t="s">
        <v>144</v>
      </c>
    </row>
    <row r="21" spans="1:3" x14ac:dyDescent="0.25">
      <c r="A21" s="3" t="s">
        <v>134</v>
      </c>
      <c r="B21" s="3">
        <v>9</v>
      </c>
      <c r="C21" s="3" t="s">
        <v>133</v>
      </c>
    </row>
    <row r="22" spans="1:3" x14ac:dyDescent="0.25">
      <c r="A22" s="3" t="s">
        <v>59</v>
      </c>
      <c r="B22" s="3">
        <v>10</v>
      </c>
      <c r="C22" s="3" t="s">
        <v>58</v>
      </c>
    </row>
    <row r="23" spans="1:3" x14ac:dyDescent="0.25">
      <c r="A23" s="3" t="s">
        <v>130</v>
      </c>
      <c r="B23" s="3">
        <v>10</v>
      </c>
      <c r="C23" s="3" t="s">
        <v>129</v>
      </c>
    </row>
    <row r="24" spans="1:3" x14ac:dyDescent="0.25">
      <c r="A24" s="3" t="s">
        <v>88</v>
      </c>
      <c r="B24" s="3">
        <v>11</v>
      </c>
      <c r="C24" s="3" t="s">
        <v>87</v>
      </c>
    </row>
    <row r="25" spans="1:3" x14ac:dyDescent="0.25">
      <c r="A25" s="3" t="s">
        <v>114</v>
      </c>
      <c r="B25" s="3">
        <v>11</v>
      </c>
      <c r="C25" s="3" t="s">
        <v>113</v>
      </c>
    </row>
    <row r="26" spans="1:3" x14ac:dyDescent="0.25">
      <c r="A26" s="3" t="s">
        <v>122</v>
      </c>
      <c r="B26" s="3">
        <v>11</v>
      </c>
      <c r="C26" s="3" t="s">
        <v>121</v>
      </c>
    </row>
    <row r="27" spans="1:3" x14ac:dyDescent="0.25">
      <c r="A27" s="3" t="s">
        <v>77</v>
      </c>
      <c r="B27" s="3">
        <v>12</v>
      </c>
      <c r="C27" s="3" t="s">
        <v>76</v>
      </c>
    </row>
    <row r="28" spans="1:3" x14ac:dyDescent="0.25">
      <c r="A28" s="3" t="s">
        <v>47</v>
      </c>
      <c r="B28" s="3">
        <v>12</v>
      </c>
      <c r="C28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19701 Химия 7 класс</vt:lpstr>
      <vt:lpstr>19702 Химия 8 класс</vt:lpstr>
      <vt:lpstr>19703 Химия 9 класс</vt:lpstr>
      <vt:lpstr>19704 Химия 10 класс</vt:lpstr>
      <vt:lpstr>19705 Химия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Марина</cp:lastModifiedBy>
  <dcterms:modified xsi:type="dcterms:W3CDTF">2026-10-26T06:54:35Z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2026-10-26T06:19:43.65364035Z</dcterms:created>
  <dc:creator>xlsxwriter</dc:creator>
  <cp:lastModifiedBy>xlsxwriter</cp:lastModifiedBy>
</cp:coreProperties>
</file>