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\ВсоШ\ШЭ\01. Результаты_Протоколы\"/>
    </mc:Choice>
  </mc:AlternateContent>
  <xr:revisionPtr revIDLastSave="0" documentId="8_{C3C9556B-1D67-4FE6-B7E6-7B76573F2433}" xr6:coauthVersionLast="47" xr6:coauthVersionMax="47" xr10:uidLastSave="{00000000-0000-0000-0000-000000000000}"/>
  <bookViews>
    <workbookView xWindow="-120" yWindow="-120" windowWidth="29040" windowHeight="15840" firstSheet="3" activeTab="7" xr2:uid="{00000000-000D-0000-FFFF-FFFF00000000}"/>
  </bookViews>
  <sheets>
    <sheet name="19667 Математика 4 класс" sheetId="1" r:id="rId1"/>
    <sheet name="19668 Математика 5 класс" sheetId="2" r:id="rId2"/>
    <sheet name="19669 Математика 6 класс" sheetId="3" r:id="rId3"/>
    <sheet name="19670 Математика 7 класс" sheetId="4" r:id="rId4"/>
    <sheet name="19671 Математика 8 класс" sheetId="5" r:id="rId5"/>
    <sheet name="19672 Математика 9 класс" sheetId="6" r:id="rId6"/>
    <sheet name="19673 Математика 10 класс" sheetId="7" r:id="rId7"/>
    <sheet name="19674 Математика 11 класс" sheetId="8" r:id="rId8"/>
    <sheet name="TimeZones" sheetId="9" state="very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8" l="1"/>
  <c r="E6" i="8"/>
  <c r="F5" i="8"/>
  <c r="E5" i="8"/>
  <c r="F4" i="8"/>
  <c r="E4" i="8"/>
  <c r="F3" i="8"/>
  <c r="E3" i="8"/>
  <c r="F4" i="7"/>
  <c r="E4" i="7"/>
  <c r="F3" i="7"/>
  <c r="E3" i="7"/>
  <c r="F4" i="6"/>
  <c r="E4" i="6"/>
  <c r="F3" i="6"/>
  <c r="E3" i="6"/>
  <c r="F9" i="5"/>
  <c r="E9" i="5"/>
  <c r="F8" i="5"/>
  <c r="E8" i="5"/>
  <c r="F7" i="5"/>
  <c r="E7" i="5"/>
  <c r="F6" i="5"/>
  <c r="E6" i="5"/>
  <c r="F5" i="5"/>
  <c r="E5" i="5"/>
  <c r="F4" i="5"/>
  <c r="E4" i="5"/>
  <c r="F3" i="5"/>
  <c r="E3" i="5"/>
  <c r="F7" i="4"/>
  <c r="E7" i="4"/>
  <c r="F6" i="4"/>
  <c r="E6" i="4"/>
  <c r="F5" i="4"/>
  <c r="E5" i="4"/>
  <c r="F4" i="4"/>
  <c r="E4" i="4"/>
  <c r="F3" i="4"/>
  <c r="E3" i="4"/>
  <c r="F11" i="3"/>
  <c r="E11" i="3"/>
  <c r="F10" i="3"/>
  <c r="E10" i="3"/>
  <c r="F9" i="3"/>
  <c r="E9" i="3"/>
  <c r="F8" i="3"/>
  <c r="E8" i="3"/>
  <c r="F7" i="3"/>
  <c r="E7" i="3"/>
  <c r="F6" i="3"/>
  <c r="E6" i="3"/>
  <c r="F5" i="3"/>
  <c r="E5" i="3"/>
  <c r="F4" i="3"/>
  <c r="E4" i="3"/>
  <c r="F3" i="3"/>
  <c r="E3" i="3"/>
  <c r="F10" i="2"/>
  <c r="E10" i="2"/>
  <c r="F9" i="2"/>
  <c r="E9" i="2"/>
  <c r="F8" i="2"/>
  <c r="E8" i="2"/>
  <c r="F7" i="2"/>
  <c r="E7" i="2"/>
  <c r="F6" i="2"/>
  <c r="E6" i="2"/>
  <c r="F5" i="2"/>
  <c r="E5" i="2"/>
  <c r="F4" i="2"/>
  <c r="E4" i="2"/>
  <c r="F3" i="2"/>
  <c r="E3" i="2"/>
  <c r="F11" i="1"/>
  <c r="E11" i="1"/>
  <c r="F10" i="1"/>
  <c r="E10" i="1"/>
  <c r="F9" i="1"/>
  <c r="E9" i="1"/>
  <c r="F8" i="1"/>
  <c r="E8" i="1"/>
  <c r="F7" i="1"/>
  <c r="E7" i="1"/>
  <c r="F6" i="1"/>
  <c r="E6" i="1"/>
  <c r="F5" i="1"/>
  <c r="E5" i="1"/>
  <c r="F4" i="1"/>
  <c r="E4" i="1"/>
  <c r="F3" i="1"/>
  <c r="E3" i="1"/>
</calcChain>
</file>

<file path=xl/sharedStrings.xml><?xml version="1.0" encoding="utf-8"?>
<sst xmlns="http://schemas.openxmlformats.org/spreadsheetml/2006/main" count="239" uniqueCount="144">
  <si>
    <t/>
  </si>
  <si>
    <t>19667/edu822234/4/2q62wv9z</t>
  </si>
  <si>
    <t>19667/edu822234/4/7v647794</t>
  </si>
  <si>
    <t>19667/edu822234/4/g3977q9r</t>
  </si>
  <si>
    <t>19667/edu822234/4/q565vv9w</t>
  </si>
  <si>
    <t>19667/edu822234/4/q76r46zw</t>
  </si>
  <si>
    <t>19667/edu822234/4/q76r846z</t>
  </si>
  <si>
    <t>19667/edu822234/4/q89z3g6v</t>
  </si>
  <si>
    <t>19667/edu822234/4/z76g4895</t>
  </si>
  <si>
    <t>19668/edu822234/5/2g4966v6</t>
  </si>
  <si>
    <t>19668/edu822234/5/35v8ww46</t>
  </si>
  <si>
    <t>19668/edu822234/5/68v6gr47</t>
  </si>
  <si>
    <t>19668/edu822234/5/g347rqv5</t>
  </si>
  <si>
    <t>19668/edu822234/5/q5v5g6v3</t>
  </si>
  <si>
    <t>19668/edu822234/5/q5v5q6v3</t>
  </si>
  <si>
    <t>19668/edu822234/5/z3v26vg9</t>
  </si>
  <si>
    <t>19669/edu822234/6/35z86wz6</t>
  </si>
  <si>
    <t>19669/edu822234/6/76z4779w</t>
  </si>
  <si>
    <t>19669/edu822234/6/g397q962</t>
  </si>
  <si>
    <t>19669/edu822234/6/g397rqz6</t>
  </si>
  <si>
    <t>19669/edu822234/6/q5z5g6z4</t>
  </si>
  <si>
    <t>19669/edu822234/6/q7zr84z8</t>
  </si>
  <si>
    <t>19669/edu822234/6/v79v4q92</t>
  </si>
  <si>
    <t>19669/edu822234/6/v7zgv894</t>
  </si>
  <si>
    <t>19670/edu822234/7/2g69zv49</t>
  </si>
  <si>
    <t>19670/edu822234/7/35487w6w</t>
  </si>
  <si>
    <t>19670/edu822234/7/q74rg96w</t>
  </si>
  <si>
    <t>19670/edu822234/7/zv4qgr4w</t>
  </si>
  <si>
    <t>19671/edu822234/8/2q6259z3</t>
  </si>
  <si>
    <t>19671/edu822234/8/3568wzvw</t>
  </si>
  <si>
    <t>19671/edu822234/8/7964r762</t>
  </si>
  <si>
    <t>19671/edu822234/8/q565q96g</t>
  </si>
  <si>
    <t>19671/edu822234/8/q76rg4z8</t>
  </si>
  <si>
    <t>19671/edu822234/8/v76g8zrw</t>
  </si>
  <si>
    <t>19672/edu822234/9/2g638vzv</t>
  </si>
  <si>
    <t>19673/edu822234/10/q5v5q6vg</t>
  </si>
  <si>
    <t>19674/edu822234/11/35485wz6</t>
  </si>
  <si>
    <t>19674/edu822234/11/v7zvq435</t>
  </si>
  <si>
    <t>19674/edu822234/11/v7zvqq43</t>
  </si>
  <si>
    <t>UTC</t>
  </si>
  <si>
    <t>UTC (МСК-3, UTC)</t>
  </si>
  <si>
    <t>Анадырь</t>
  </si>
  <si>
    <t>Анадырь (МСК+9, UTC+12)</t>
  </si>
  <si>
    <t>Астрахань</t>
  </si>
  <si>
    <t>Астрахань (МСК+1, UTC+4)</t>
  </si>
  <si>
    <t>Баранов Михаил Вадимович</t>
  </si>
  <si>
    <t>Барнаул</t>
  </si>
  <si>
    <t>Барнаул (МСК+4, UTC+7)</t>
  </si>
  <si>
    <t>Безнос Анастасия Николаевна</t>
  </si>
  <si>
    <t>Бекиров Эдуард Борисович</t>
  </si>
  <si>
    <t>Бекирова Лиана Серверовна</t>
  </si>
  <si>
    <t>Бекирова Милана Серверовна</t>
  </si>
  <si>
    <t>Богданова Влада Сергеевна</t>
  </si>
  <si>
    <t>Бредихина Вера Сергеевна</t>
  </si>
  <si>
    <t>Бухенко Никита Игоревич</t>
  </si>
  <si>
    <t>Владивосток</t>
  </si>
  <si>
    <t>Владивосток (МСК+7, UTC+10)</t>
  </si>
  <si>
    <t>Волгоград</t>
  </si>
  <si>
    <t>Волгоград (МСК, UTC+3)</t>
  </si>
  <si>
    <t>Гафарова Асие Элимдаровна</t>
  </si>
  <si>
    <t>Грамота</t>
  </si>
  <si>
    <t>Екатеринбург</t>
  </si>
  <si>
    <t>Екатеринбург (МСК+2, UTC+5)</t>
  </si>
  <si>
    <t>Елизаров Артём Олегович</t>
  </si>
  <si>
    <t>Жирнов Ярослав Алексеевич</t>
  </si>
  <si>
    <t>Зюбан Ангелина Алексеевна</t>
  </si>
  <si>
    <t>Иркутск</t>
  </si>
  <si>
    <t>Иркутск (МСК+5, UTC+8)</t>
  </si>
  <si>
    <t>Калининград</t>
  </si>
  <si>
    <t>Калининград (МСК-1, UTC+2)</t>
  </si>
  <si>
    <t>Камалутдинова Таисия Руслановна</t>
  </si>
  <si>
    <t>Камчатка</t>
  </si>
  <si>
    <t>Камчатка (МСК+9, UTC+12)</t>
  </si>
  <si>
    <t>Киров</t>
  </si>
  <si>
    <t>Киров (МСК, UTC+3)</t>
  </si>
  <si>
    <t>Код</t>
  </si>
  <si>
    <t>Козунко Татьяна Анатольевна</t>
  </si>
  <si>
    <t>Коток Аделина Андреевна</t>
  </si>
  <si>
    <t>Красноярск</t>
  </si>
  <si>
    <t>Красноярск (МСК+4, UTC+7)</t>
  </si>
  <si>
    <t>Кучерянова Вероника Евгеньевна</t>
  </si>
  <si>
    <t>Магадан</t>
  </si>
  <si>
    <t>Магадан (МСК+8, UTC+11)</t>
  </si>
  <si>
    <t>Мазур Мария Андреевна</t>
  </si>
  <si>
    <t>Максимальный балл</t>
  </si>
  <si>
    <t>Мартьянов Артём Сергеевич</t>
  </si>
  <si>
    <t>Москва</t>
  </si>
  <si>
    <t>Москва (МСК, UTC+3)</t>
  </si>
  <si>
    <t>Набранные баллы</t>
  </si>
  <si>
    <t>Назавов Станислав Дмитриевич</t>
  </si>
  <si>
    <t>Николаев Даниил Дмитриевич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</si>
  <si>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</si>
  <si>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</si>
  <si>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</si>
  <si>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</si>
  <si>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</si>
  <si>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</si>
  <si>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Пархоменко Кирилл Максимович</t>
  </si>
  <si>
    <t>Подольская Елизавета Антоновна</t>
  </si>
  <si>
    <t>Саган Василиса Сергеевна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</si>
  <si>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</si>
  <si>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</si>
  <si>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</si>
  <si>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</si>
  <si>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</si>
  <si>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</si>
  <si>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Симбирёва Мелания Олеговна</t>
  </si>
  <si>
    <t>Симбирёва Полина Витальевна</t>
  </si>
  <si>
    <t>Симферополь</t>
  </si>
  <si>
    <t>Симферополь (МСК, UTC+3)</t>
  </si>
  <si>
    <t>Солупаева Мария Станиславовна</t>
  </si>
  <si>
    <t>Среднеколымск</t>
  </si>
  <si>
    <t>Среднеколымск (МСК+8, UTC+11)</t>
  </si>
  <si>
    <t>Стариков Георгий Романович</t>
  </si>
  <si>
    <t>Статус</t>
  </si>
  <si>
    <t>Степченко Игорь Евгеньевич</t>
  </si>
  <si>
    <t>Струнина София Павловна</t>
  </si>
  <si>
    <t>Сулейманов Амир Самирович</t>
  </si>
  <si>
    <t>Суфянов Эмран Эскендерович</t>
  </si>
  <si>
    <t>Ткачёва Злата Дмитриевна</t>
  </si>
  <si>
    <t>Томск</t>
  </si>
  <si>
    <t>Томск (МСК+4, UTC+7)</t>
  </si>
  <si>
    <t>Тютенко Максим Андреевич</t>
  </si>
  <si>
    <t>Ульяновск</t>
  </si>
  <si>
    <t>Ульяновск (МСК+1, UTC+4)</t>
  </si>
  <si>
    <t>Усеинов Эрвин Саитхалилович</t>
  </si>
  <si>
    <t>Усть-Нера</t>
  </si>
  <si>
    <t>Усть-Нера (МСК+7, UTC+10)</t>
  </si>
  <si>
    <t>ФИО</t>
  </si>
  <si>
    <t>Хандыга</t>
  </si>
  <si>
    <t>Хандыга (МСК+6, UTC+9)</t>
  </si>
  <si>
    <t>Часовой пояс</t>
  </si>
  <si>
    <t>Чита</t>
  </si>
  <si>
    <t>Чита (МСК+6, UTC+9)</t>
  </si>
  <si>
    <t>Шабанов Мустафа Февзиевич</t>
  </si>
  <si>
    <t>Шпиталевская Ева Вадимовна</t>
  </si>
  <si>
    <t>Юршин Герман Александрович</t>
  </si>
  <si>
    <t>Якимович Егор Алексеевич</t>
  </si>
  <si>
    <t>Якутск</t>
  </si>
  <si>
    <t>Якутск (МСК+6, UTC+9)</t>
  </si>
  <si>
    <t>Победитель</t>
  </si>
  <si>
    <t>Призер</t>
  </si>
  <si>
    <t>Участник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</si>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</sst>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"/>
    <numFmt numFmtId="165" formatCode="dd\ mmmm\ yyyy\ &quot;в&quot;\ hh:mm"/>
  </numFmts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workbookViewId="0">
      <selection activeCell="G7" sqref="G7:G11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1" t="s">
        <v>131</v>
      </c>
      <c r="B1" s="2" t="s">
        <v>87</v>
      </c>
    </row>
    <row r="3" spans="1:8" ht="30" x14ac:dyDescent="0.25">
      <c r="A3" s="1" t="s">
        <v>75</v>
      </c>
      <c r="B3" s="1" t="s">
        <v>128</v>
      </c>
      <c r="C3" s="1" t="s">
        <v>88</v>
      </c>
      <c r="D3" s="1" t="s">
        <v>84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114</v>
      </c>
      <c r="H3" s="1" t="s">
        <v>60</v>
      </c>
    </row>
    <row r="4" spans="1:8" x14ac:dyDescent="0.25">
      <c r="A4" s="2" t="s">
        <v>3</v>
      </c>
      <c r="B4" s="2" t="s">
        <v>85</v>
      </c>
      <c r="C4" s="3">
        <v>51</v>
      </c>
      <c r="D4" s="3">
        <v>56</v>
      </c>
      <c r="E4" s="4">
        <f>46308.6817945211 + (VLOOKUP($B$1,TimeZones!$A$1:$C$28,2,FALSE))/24</f>
        <v>46308.806794521101</v>
      </c>
      <c r="F4" s="4">
        <f>46308.7148785104 + (VLOOKUP($B$1,TimeZones!$A$1:$C$28,2,FALSE))/24</f>
        <v>46308.8398785104</v>
      </c>
      <c r="G4" s="2" t="s">
        <v>140</v>
      </c>
    </row>
    <row r="5" spans="1:8" x14ac:dyDescent="0.25">
      <c r="A5" s="2" t="s">
        <v>1</v>
      </c>
      <c r="B5" s="2" t="s">
        <v>125</v>
      </c>
      <c r="C5" s="3">
        <v>37</v>
      </c>
      <c r="D5" s="3">
        <v>56</v>
      </c>
      <c r="E5" s="4">
        <f>46308.4990627228 + (VLOOKUP($B$1,TimeZones!$A$1:$C$28,2,FALSE))/24</f>
        <v>46308.624062722804</v>
      </c>
      <c r="F5" s="4">
        <f>46308.5407293894 + (VLOOKUP($B$1,TimeZones!$A$1:$C$28,2,FALSE))/24</f>
        <v>46308.665729389402</v>
      </c>
      <c r="G5" s="2" t="s">
        <v>141</v>
      </c>
    </row>
    <row r="6" spans="1:8" x14ac:dyDescent="0.25">
      <c r="A6" s="2" t="s">
        <v>2</v>
      </c>
      <c r="B6" s="2" t="s">
        <v>77</v>
      </c>
      <c r="C6" s="3">
        <v>30</v>
      </c>
      <c r="D6" s="3">
        <v>56</v>
      </c>
      <c r="E6" s="4">
        <f>46308.5792256194 + (VLOOKUP($B$1,TimeZones!$A$1:$C$28,2,FALSE))/24</f>
        <v>46308.704225619404</v>
      </c>
      <c r="F6" s="4">
        <f>46308.60659377 + (VLOOKUP($B$1,TimeZones!$A$1:$C$28,2,FALSE))/24</f>
        <v>46308.731593769997</v>
      </c>
      <c r="G6" s="2" t="s">
        <v>141</v>
      </c>
    </row>
    <row r="7" spans="1:8" x14ac:dyDescent="0.25">
      <c r="A7" s="2" t="s">
        <v>6</v>
      </c>
      <c r="B7" s="2" t="s">
        <v>64</v>
      </c>
      <c r="C7" s="3">
        <v>23</v>
      </c>
      <c r="D7" s="3">
        <v>56</v>
      </c>
      <c r="E7" s="4">
        <f>46308.547550166 + (VLOOKUP($B$1,TimeZones!$A$1:$C$28,2,FALSE))/24</f>
        <v>46308.672550165997</v>
      </c>
      <c r="F7" s="4">
        <f>46308.587497586 + (VLOOKUP($B$1,TimeZones!$A$1:$C$28,2,FALSE))/24</f>
        <v>46308.712497585999</v>
      </c>
      <c r="G7" s="2" t="s">
        <v>142</v>
      </c>
    </row>
    <row r="8" spans="1:8" x14ac:dyDescent="0.25">
      <c r="A8" s="2" t="s">
        <v>8</v>
      </c>
      <c r="B8" s="2" t="s">
        <v>134</v>
      </c>
      <c r="C8" s="3">
        <v>19</v>
      </c>
      <c r="D8" s="3">
        <v>56</v>
      </c>
      <c r="E8" s="4">
        <f>46308.7325838319 + (VLOOKUP($B$1,TimeZones!$A$1:$C$28,2,FALSE))/24</f>
        <v>46308.857583831901</v>
      </c>
      <c r="F8" s="4">
        <f>46308.7742504986 + (VLOOKUP($B$1,TimeZones!$A$1:$C$28,2,FALSE))/24</f>
        <v>46308.899250498602</v>
      </c>
      <c r="G8" s="2" t="s">
        <v>142</v>
      </c>
    </row>
    <row r="9" spans="1:8" x14ac:dyDescent="0.25">
      <c r="A9" s="2" t="s">
        <v>4</v>
      </c>
      <c r="B9" s="2" t="s">
        <v>106</v>
      </c>
      <c r="C9" s="3">
        <v>16</v>
      </c>
      <c r="D9" s="3">
        <v>56</v>
      </c>
      <c r="E9" s="4">
        <f>46308.7085798676 + (VLOOKUP($B$1,TimeZones!$A$1:$C$28,2,FALSE))/24</f>
        <v>46308.833579867598</v>
      </c>
      <c r="F9" s="4">
        <f>46308.7442613455 + (VLOOKUP($B$1,TimeZones!$A$1:$C$28,2,FALSE))/24</f>
        <v>46308.869261345499</v>
      </c>
      <c r="G9" s="2" t="s">
        <v>142</v>
      </c>
    </row>
    <row r="10" spans="1:8" x14ac:dyDescent="0.25">
      <c r="A10" s="2" t="s">
        <v>7</v>
      </c>
      <c r="B10" s="2" t="s">
        <v>116</v>
      </c>
      <c r="C10" s="3">
        <v>9</v>
      </c>
      <c r="D10" s="3">
        <v>56</v>
      </c>
      <c r="E10" s="4">
        <f>46308.7750906144 + (VLOOKUP($B$1,TimeZones!$A$1:$C$28,2,FALSE))/24</f>
        <v>46308.900090614399</v>
      </c>
      <c r="F10" s="4">
        <f>46308.7916666667 + (VLOOKUP($B$1,TimeZones!$A$1:$C$28,2,FALSE))/24</f>
        <v>46308.916666666701</v>
      </c>
      <c r="G10" s="2" t="s">
        <v>142</v>
      </c>
    </row>
    <row r="11" spans="1:8" x14ac:dyDescent="0.25">
      <c r="A11" s="2" t="s">
        <v>5</v>
      </c>
      <c r="B11" s="2" t="s">
        <v>117</v>
      </c>
      <c r="C11" s="3">
        <v>0</v>
      </c>
      <c r="D11" s="3">
        <v>56</v>
      </c>
      <c r="E11" s="4">
        <f>46308.7072811349 + (VLOOKUP($B$1,TimeZones!$A$1:$C$28,2,FALSE))/24</f>
        <v>46308.832281134899</v>
      </c>
      <c r="F11" s="4">
        <f>46308.7403552568 + (VLOOKUP($B$1,TimeZones!$A$1:$C$28,2,FALSE))/24</f>
        <v>46308.865355256799</v>
      </c>
      <c r="G11" s="2" t="s">
        <v>142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0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workbookViewId="0">
      <selection activeCell="G6" sqref="G6:G10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1" t="s">
        <v>131</v>
      </c>
      <c r="B1" s="2" t="s">
        <v>87</v>
      </c>
    </row>
    <row r="3" spans="1:8" ht="30" x14ac:dyDescent="0.25">
      <c r="A3" s="1" t="s">
        <v>75</v>
      </c>
      <c r="B3" s="1" t="s">
        <v>128</v>
      </c>
      <c r="C3" s="1" t="s">
        <v>88</v>
      </c>
      <c r="D3" s="1" t="s">
        <v>84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114</v>
      </c>
      <c r="H3" s="1" t="s">
        <v>60</v>
      </c>
    </row>
    <row r="4" spans="1:8" x14ac:dyDescent="0.25">
      <c r="A4" s="2" t="s">
        <v>14</v>
      </c>
      <c r="B4" s="2" t="s">
        <v>59</v>
      </c>
      <c r="C4" s="3">
        <v>49</v>
      </c>
      <c r="D4" s="3">
        <v>56</v>
      </c>
      <c r="E4" s="4">
        <f>46308.7012696332 + (VLOOKUP($B$1,TimeZones!$A$1:$C$28,2,FALSE))/24</f>
        <v>46308.826269633202</v>
      </c>
      <c r="F4" s="4">
        <f>46308.7429362999 + (VLOOKUP($B$1,TimeZones!$A$1:$C$28,2,FALSE))/24</f>
        <v>46308.867936299903</v>
      </c>
      <c r="G4" s="2" t="s">
        <v>140</v>
      </c>
    </row>
    <row r="5" spans="1:8" x14ac:dyDescent="0.25">
      <c r="A5" s="2" t="s">
        <v>9</v>
      </c>
      <c r="B5" s="2" t="s">
        <v>98</v>
      </c>
      <c r="C5" s="3">
        <v>25</v>
      </c>
      <c r="D5" s="3">
        <v>56</v>
      </c>
      <c r="E5" s="4">
        <f>46308.6332914551 + (VLOOKUP($B$1,TimeZones!$A$1:$C$28,2,FALSE))/24</f>
        <v>46308.758291455102</v>
      </c>
      <c r="F5" s="4">
        <f>46308.6727991185 + (VLOOKUP($B$1,TimeZones!$A$1:$C$28,2,FALSE))/24</f>
        <v>46308.797799118503</v>
      </c>
      <c r="G5" s="2" t="s">
        <v>141</v>
      </c>
    </row>
    <row r="6" spans="1:8" x14ac:dyDescent="0.25">
      <c r="A6" s="2" t="s">
        <v>10</v>
      </c>
      <c r="B6" s="2" t="s">
        <v>110</v>
      </c>
      <c r="C6" s="3">
        <v>23</v>
      </c>
      <c r="D6" s="3">
        <v>56</v>
      </c>
      <c r="E6" s="4">
        <f>46308.7350059573 + (VLOOKUP($B$1,TimeZones!$A$1:$C$28,2,FALSE))/24</f>
        <v>46308.8600059573</v>
      </c>
      <c r="F6" s="4">
        <f>46308.754808549 + (VLOOKUP($B$1,TimeZones!$A$1:$C$28,2,FALSE))/24</f>
        <v>46308.879808548998</v>
      </c>
      <c r="G6" s="2" t="s">
        <v>143</v>
      </c>
    </row>
    <row r="7" spans="1:8" x14ac:dyDescent="0.25">
      <c r="A7" s="2" t="s">
        <v>15</v>
      </c>
      <c r="B7" s="2" t="s">
        <v>122</v>
      </c>
      <c r="C7" s="3">
        <v>17</v>
      </c>
      <c r="D7" s="3">
        <v>56</v>
      </c>
      <c r="E7" s="4">
        <f>46308.7031042776 + (VLOOKUP($B$1,TimeZones!$A$1:$C$28,2,FALSE))/24</f>
        <v>46308.8281042776</v>
      </c>
      <c r="F7" s="4">
        <f>46308.7325526693 + (VLOOKUP($B$1,TimeZones!$A$1:$C$28,2,FALSE))/24</f>
        <v>46308.857552669302</v>
      </c>
      <c r="G7" s="2" t="s">
        <v>143</v>
      </c>
    </row>
    <row r="8" spans="1:8" x14ac:dyDescent="0.25">
      <c r="A8" s="2" t="s">
        <v>13</v>
      </c>
      <c r="B8" s="2" t="s">
        <v>90</v>
      </c>
      <c r="C8" s="3">
        <v>13</v>
      </c>
      <c r="D8" s="3">
        <v>56</v>
      </c>
      <c r="E8" s="4">
        <f>46308.6958601075 + (VLOOKUP($B$1,TimeZones!$A$1:$C$28,2,FALSE))/24</f>
        <v>46308.820860107502</v>
      </c>
      <c r="F8" s="4">
        <f>46308.7126165798 + (VLOOKUP($B$1,TimeZones!$A$1:$C$28,2,FALSE))/24</f>
        <v>46308.837616579804</v>
      </c>
      <c r="G8" s="2" t="s">
        <v>143</v>
      </c>
    </row>
    <row r="9" spans="1:8" x14ac:dyDescent="0.25">
      <c r="A9" s="2" t="s">
        <v>12</v>
      </c>
      <c r="B9" s="2" t="s">
        <v>97</v>
      </c>
      <c r="C9" s="3">
        <v>13</v>
      </c>
      <c r="D9" s="3">
        <v>56</v>
      </c>
      <c r="E9" s="4">
        <f>46308.6654288601 + (VLOOKUP($B$1,TimeZones!$A$1:$C$28,2,FALSE))/24</f>
        <v>46308.790428860098</v>
      </c>
      <c r="F9" s="4">
        <f>46308.7070955268 + (VLOOKUP($B$1,TimeZones!$A$1:$C$28,2,FALSE))/24</f>
        <v>46308.832095526799</v>
      </c>
      <c r="G9" s="2" t="s">
        <v>143</v>
      </c>
    </row>
    <row r="10" spans="1:8" x14ac:dyDescent="0.25">
      <c r="A10" s="2" t="s">
        <v>11</v>
      </c>
      <c r="B10" s="2" t="s">
        <v>45</v>
      </c>
      <c r="C10" s="3">
        <v>11</v>
      </c>
      <c r="D10" s="3">
        <v>56</v>
      </c>
      <c r="E10" s="4">
        <f>46308.5202613031 + (VLOOKUP($B$1,TimeZones!$A$1:$C$28,2,FALSE))/24</f>
        <v>46308.6452613031</v>
      </c>
      <c r="F10" s="4">
        <f>46308.5619279698 + (VLOOKUP($B$1,TimeZones!$A$1:$C$28,2,FALSE))/24</f>
        <v>46308.6869279698</v>
      </c>
      <c r="G10" s="2" t="s">
        <v>143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1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workbookViewId="0">
      <selection activeCell="G11" sqref="G11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1" t="s">
        <v>131</v>
      </c>
      <c r="B1" s="2" t="s">
        <v>87</v>
      </c>
    </row>
    <row r="3" spans="1:8" ht="30" x14ac:dyDescent="0.25">
      <c r="A3" s="1" t="s">
        <v>75</v>
      </c>
      <c r="B3" s="1" t="s">
        <v>128</v>
      </c>
      <c r="C3" s="1" t="s">
        <v>88</v>
      </c>
      <c r="D3" s="1" t="s">
        <v>84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114</v>
      </c>
      <c r="H3" s="1" t="s">
        <v>60</v>
      </c>
    </row>
    <row r="4" spans="1:8" x14ac:dyDescent="0.25">
      <c r="A4" s="2" t="s">
        <v>21</v>
      </c>
      <c r="B4" s="2" t="s">
        <v>137</v>
      </c>
      <c r="C4" s="3">
        <v>39</v>
      </c>
      <c r="D4" s="3">
        <v>56</v>
      </c>
      <c r="E4" s="4">
        <f>46308.695242029 + (VLOOKUP($B$1,TimeZones!$A$1:$C$28,2,FALSE))/24</f>
        <v>46308.820242029004</v>
      </c>
      <c r="F4" s="4">
        <f>46308.7204301526 + (VLOOKUP($B$1,TimeZones!$A$1:$C$28,2,FALSE))/24</f>
        <v>46308.8454301526</v>
      </c>
      <c r="G4" s="2" t="s">
        <v>141</v>
      </c>
    </row>
    <row r="5" spans="1:8" x14ac:dyDescent="0.25">
      <c r="A5" s="2" t="s">
        <v>23</v>
      </c>
      <c r="B5" s="2" t="s">
        <v>53</v>
      </c>
      <c r="C5" s="3">
        <v>35</v>
      </c>
      <c r="D5" s="3">
        <v>56</v>
      </c>
      <c r="E5" s="4">
        <f>46308.6098155887 + (VLOOKUP($B$1,TimeZones!$A$1:$C$28,2,FALSE))/24</f>
        <v>46308.734815588701</v>
      </c>
      <c r="F5" s="4">
        <f>46308.6723155887 + (VLOOKUP($B$1,TimeZones!$A$1:$C$28,2,FALSE))/24</f>
        <v>46308.797315588701</v>
      </c>
      <c r="G5" s="2" t="s">
        <v>141</v>
      </c>
    </row>
    <row r="6" spans="1:8" x14ac:dyDescent="0.25">
      <c r="A6" s="2" t="s">
        <v>19</v>
      </c>
      <c r="B6" s="2" t="s">
        <v>49</v>
      </c>
      <c r="C6" s="3">
        <v>34</v>
      </c>
      <c r="D6" s="3">
        <v>56</v>
      </c>
      <c r="E6" s="4">
        <f>46308.6415412731 + (VLOOKUP($B$1,TimeZones!$A$1:$C$28,2,FALSE))/24</f>
        <v>46308.7665412731</v>
      </c>
      <c r="F6" s="4">
        <f>46308.6567102502 + (VLOOKUP($B$1,TimeZones!$A$1:$C$28,2,FALSE))/24</f>
        <v>46308.781710250201</v>
      </c>
      <c r="G6" s="2" t="s">
        <v>141</v>
      </c>
    </row>
    <row r="7" spans="1:8" x14ac:dyDescent="0.25">
      <c r="A7" s="2" t="s">
        <v>17</v>
      </c>
      <c r="B7" s="2" t="s">
        <v>65</v>
      </c>
      <c r="C7" s="3">
        <v>33</v>
      </c>
      <c r="D7" s="3">
        <v>56</v>
      </c>
      <c r="E7" s="4">
        <f>46308.6699389672 + (VLOOKUP($B$1,TimeZones!$A$1:$C$28,2,FALSE))/24</f>
        <v>46308.794938967199</v>
      </c>
      <c r="F7" s="4">
        <f>46308.7222617296 + (VLOOKUP($B$1,TimeZones!$A$1:$C$28,2,FALSE))/24</f>
        <v>46308.847261729599</v>
      </c>
      <c r="G7" s="2" t="s">
        <v>141</v>
      </c>
    </row>
    <row r="8" spans="1:8" x14ac:dyDescent="0.25">
      <c r="A8" s="2" t="s">
        <v>20</v>
      </c>
      <c r="B8" s="2" t="s">
        <v>119</v>
      </c>
      <c r="C8" s="3">
        <v>31</v>
      </c>
      <c r="D8" s="3">
        <v>56</v>
      </c>
      <c r="E8" s="4">
        <f>46308.5922386615 + (VLOOKUP($B$1,TimeZones!$A$1:$C$28,2,FALSE))/24</f>
        <v>46308.717238661498</v>
      </c>
      <c r="F8" s="4">
        <f>46308.6233947568 + (VLOOKUP($B$1,TimeZones!$A$1:$C$28,2,FALSE))/24</f>
        <v>46308.748394756803</v>
      </c>
      <c r="G8" s="2" t="s">
        <v>141</v>
      </c>
    </row>
    <row r="9" spans="1:8" x14ac:dyDescent="0.25">
      <c r="A9" s="2" t="s">
        <v>22</v>
      </c>
      <c r="B9" s="2" t="s">
        <v>135</v>
      </c>
      <c r="C9" s="3">
        <v>28</v>
      </c>
      <c r="D9" s="3">
        <v>56</v>
      </c>
      <c r="E9" s="4">
        <f>46308.7271989271 + (VLOOKUP($B$1,TimeZones!$A$1:$C$28,2,FALSE))/24</f>
        <v>46308.852198927198</v>
      </c>
      <c r="F9" s="4">
        <f>46308.7329010048 + (VLOOKUP($B$1,TimeZones!$A$1:$C$28,2,FALSE))/24</f>
        <v>46308.857901004798</v>
      </c>
      <c r="G9" s="2" t="s">
        <v>141</v>
      </c>
    </row>
    <row r="10" spans="1:8" x14ac:dyDescent="0.25">
      <c r="A10" s="2" t="s">
        <v>18</v>
      </c>
      <c r="B10" s="2" t="s">
        <v>107</v>
      </c>
      <c r="C10" s="3">
        <v>21</v>
      </c>
      <c r="D10" s="3">
        <v>56</v>
      </c>
      <c r="E10" s="4">
        <f>46308.7129317651 + (VLOOKUP($B$1,TimeZones!$A$1:$C$28,2,FALSE))/24</f>
        <v>46308.837931765098</v>
      </c>
      <c r="F10" s="4">
        <f>46308.7750109173 + (VLOOKUP($B$1,TimeZones!$A$1:$C$28,2,FALSE))/24</f>
        <v>46308.900010917299</v>
      </c>
      <c r="G10" s="2" t="s">
        <v>142</v>
      </c>
    </row>
    <row r="11" spans="1:8" x14ac:dyDescent="0.25">
      <c r="A11" s="2" t="s">
        <v>16</v>
      </c>
      <c r="B11" s="2" t="s">
        <v>70</v>
      </c>
      <c r="C11" s="3">
        <v>9</v>
      </c>
      <c r="D11" s="3">
        <v>56</v>
      </c>
      <c r="E11" s="4">
        <f>46308.5242288648 + (VLOOKUP($B$1,TimeZones!$A$1:$C$28,2,FALSE))/24</f>
        <v>46308.649228864801</v>
      </c>
      <c r="F11" s="4">
        <f>46308.5628583913 + (VLOOKUP($B$1,TimeZones!$A$1:$C$28,2,FALSE))/24</f>
        <v>46308.687858391299</v>
      </c>
      <c r="G11" s="2" t="s">
        <v>142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2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workbookViewId="0">
      <selection activeCell="G8" sqref="G8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1" t="s">
        <v>131</v>
      </c>
      <c r="B1" s="2" t="s">
        <v>87</v>
      </c>
    </row>
    <row r="3" spans="1:8" ht="30" x14ac:dyDescent="0.25">
      <c r="A3" s="1" t="s">
        <v>75</v>
      </c>
      <c r="B3" s="1" t="s">
        <v>128</v>
      </c>
      <c r="C3" s="1" t="s">
        <v>88</v>
      </c>
      <c r="D3" s="1" t="s">
        <v>84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114</v>
      </c>
      <c r="H3" s="1" t="s">
        <v>60</v>
      </c>
    </row>
    <row r="4" spans="1:8" x14ac:dyDescent="0.25">
      <c r="A4" s="2" t="s">
        <v>25</v>
      </c>
      <c r="B4" s="2" t="s">
        <v>50</v>
      </c>
      <c r="C4" s="3">
        <v>42</v>
      </c>
      <c r="D4" s="3">
        <v>56</v>
      </c>
      <c r="E4" s="4">
        <f>46309.5605984815 + (VLOOKUP($B$1,TimeZones!$A$1:$C$28,2,FALSE))/24</f>
        <v>46309.685598481497</v>
      </c>
      <c r="F4" s="4">
        <f>46309.6069010505 + (VLOOKUP($B$1,TimeZones!$A$1:$C$28,2,FALSE))/24</f>
        <v>46309.731901050502</v>
      </c>
      <c r="G4" s="2" t="s">
        <v>140</v>
      </c>
    </row>
    <row r="5" spans="1:8" x14ac:dyDescent="0.25">
      <c r="A5" s="2" t="s">
        <v>24</v>
      </c>
      <c r="B5" s="2" t="s">
        <v>115</v>
      </c>
      <c r="C5" s="3">
        <v>35</v>
      </c>
      <c r="D5" s="3">
        <v>56</v>
      </c>
      <c r="E5" s="4">
        <f>46309.7517519585 + (VLOOKUP($B$1,TimeZones!$A$1:$C$28,2,FALSE))/24</f>
        <v>46309.876751958502</v>
      </c>
      <c r="F5" s="4">
        <f>46309.7621181164 + (VLOOKUP($B$1,TimeZones!$A$1:$C$28,2,FALSE))/24</f>
        <v>46309.8871181164</v>
      </c>
      <c r="G5" s="2" t="s">
        <v>141</v>
      </c>
    </row>
    <row r="6" spans="1:8" x14ac:dyDescent="0.25">
      <c r="A6" s="2" t="s">
        <v>27</v>
      </c>
      <c r="B6" s="2" t="s">
        <v>113</v>
      </c>
      <c r="C6" s="3">
        <v>21</v>
      </c>
      <c r="D6" s="3">
        <v>56</v>
      </c>
      <c r="E6" s="4">
        <f>46309.6635533131 + (VLOOKUP($B$1,TimeZones!$A$1:$C$28,2,FALSE))/24</f>
        <v>46309.788553313098</v>
      </c>
      <c r="F6" s="4">
        <f>46309.7016251726 + (VLOOKUP($B$1,TimeZones!$A$1:$C$28,2,FALSE))/24</f>
        <v>46309.826625172602</v>
      </c>
      <c r="G6" s="2" t="s">
        <v>142</v>
      </c>
    </row>
    <row r="7" spans="1:8" x14ac:dyDescent="0.25">
      <c r="A7" s="2" t="s">
        <v>26</v>
      </c>
      <c r="B7" s="2" t="s">
        <v>54</v>
      </c>
      <c r="C7" s="3">
        <v>0</v>
      </c>
      <c r="D7" s="3">
        <v>56</v>
      </c>
      <c r="E7" s="4">
        <f>46309.6297182921 + (VLOOKUP($B$1,TimeZones!$A$1:$C$28,2,FALSE))/24</f>
        <v>46309.754718292097</v>
      </c>
      <c r="F7" s="4">
        <f>46309.6922182921 + (VLOOKUP($B$1,TimeZones!$A$1:$C$28,2,FALSE))/24</f>
        <v>46309.817218292097</v>
      </c>
      <c r="G7" s="2" t="s">
        <v>142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3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"/>
  <sheetViews>
    <sheetView workbookViewId="0">
      <selection activeCell="G6" sqref="G6:G9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1" t="s">
        <v>131</v>
      </c>
      <c r="B1" s="2" t="s">
        <v>87</v>
      </c>
    </row>
    <row r="3" spans="1:8" ht="30" x14ac:dyDescent="0.25">
      <c r="A3" s="1" t="s">
        <v>75</v>
      </c>
      <c r="B3" s="1" t="s">
        <v>128</v>
      </c>
      <c r="C3" s="1" t="s">
        <v>88</v>
      </c>
      <c r="D3" s="1" t="s">
        <v>84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114</v>
      </c>
      <c r="H3" s="1" t="s">
        <v>60</v>
      </c>
    </row>
    <row r="4" spans="1:8" x14ac:dyDescent="0.25">
      <c r="A4" s="2" t="s">
        <v>29</v>
      </c>
      <c r="B4" s="2" t="s">
        <v>76</v>
      </c>
      <c r="C4" s="3">
        <v>42</v>
      </c>
      <c r="D4" s="3">
        <v>56</v>
      </c>
      <c r="E4" s="4">
        <f>46309.7124394444 + (VLOOKUP($B$1,TimeZones!$A$1:$C$28,2,FALSE))/24</f>
        <v>46309.837439444404</v>
      </c>
      <c r="F4" s="4">
        <f>46309.7215231365 + (VLOOKUP($B$1,TimeZones!$A$1:$C$28,2,FALSE))/24</f>
        <v>46309.846523136599</v>
      </c>
      <c r="G4" s="2" t="s">
        <v>140</v>
      </c>
    </row>
    <row r="5" spans="1:8" x14ac:dyDescent="0.25">
      <c r="A5" s="2" t="s">
        <v>28</v>
      </c>
      <c r="B5" s="2" t="s">
        <v>99</v>
      </c>
      <c r="C5" s="3">
        <v>40</v>
      </c>
      <c r="D5" s="3">
        <v>56</v>
      </c>
      <c r="E5" s="4">
        <f>46309.6997932325 + (VLOOKUP($B$1,TimeZones!$A$1:$C$28,2,FALSE))/24</f>
        <v>46309.824793232503</v>
      </c>
      <c r="F5" s="4">
        <f>46309.7207673748 + (VLOOKUP($B$1,TimeZones!$A$1:$C$28,2,FALSE))/24</f>
        <v>46309.845767374798</v>
      </c>
      <c r="G5" s="2" t="s">
        <v>141</v>
      </c>
    </row>
    <row r="6" spans="1:8" x14ac:dyDescent="0.25">
      <c r="A6" s="2" t="s">
        <v>30</v>
      </c>
      <c r="B6" s="2" t="s">
        <v>48</v>
      </c>
      <c r="C6" s="3">
        <v>14</v>
      </c>
      <c r="D6" s="3">
        <v>56</v>
      </c>
      <c r="E6" s="4">
        <f>46309.6173887674 + (VLOOKUP($B$1,TimeZones!$A$1:$C$28,2,FALSE))/24</f>
        <v>46309.742388767401</v>
      </c>
      <c r="F6" s="4">
        <f>46309.6798887674 + (VLOOKUP($B$1,TimeZones!$A$1:$C$28,2,FALSE))/24</f>
        <v>46309.804888767401</v>
      </c>
      <c r="G6" s="2" t="s">
        <v>142</v>
      </c>
    </row>
    <row r="7" spans="1:8" x14ac:dyDescent="0.25">
      <c r="A7" s="2" t="s">
        <v>32</v>
      </c>
      <c r="B7" s="2" t="s">
        <v>63</v>
      </c>
      <c r="C7" s="3">
        <v>14</v>
      </c>
      <c r="D7" s="3">
        <v>56</v>
      </c>
      <c r="E7" s="4">
        <f>46309.6509310381 + (VLOOKUP($B$1,TimeZones!$A$1:$C$28,2,FALSE))/24</f>
        <v>46309.775931038101</v>
      </c>
      <c r="F7" s="4">
        <f>46309.7134310381 + (VLOOKUP($B$1,TimeZones!$A$1:$C$28,2,FALSE))/24</f>
        <v>46309.838431038101</v>
      </c>
      <c r="G7" s="2" t="s">
        <v>142</v>
      </c>
    </row>
    <row r="8" spans="1:8" x14ac:dyDescent="0.25">
      <c r="A8" s="2" t="s">
        <v>31</v>
      </c>
      <c r="B8" s="2" t="s">
        <v>83</v>
      </c>
      <c r="C8" s="3">
        <v>14</v>
      </c>
      <c r="D8" s="3">
        <v>56</v>
      </c>
      <c r="E8" s="4">
        <f>46309.7004318934 + (VLOOKUP($B$1,TimeZones!$A$1:$C$28,2,FALSE))/24</f>
        <v>46309.825431893398</v>
      </c>
      <c r="F8" s="4">
        <f>46309.7629318934 + (VLOOKUP($B$1,TimeZones!$A$1:$C$28,2,FALSE))/24</f>
        <v>46309.887931893398</v>
      </c>
      <c r="G8" s="2" t="s">
        <v>142</v>
      </c>
    </row>
    <row r="9" spans="1:8" x14ac:dyDescent="0.25">
      <c r="A9" s="2" t="s">
        <v>33</v>
      </c>
      <c r="B9" s="2" t="s">
        <v>89</v>
      </c>
      <c r="C9" s="3">
        <v>14</v>
      </c>
      <c r="D9" s="3">
        <v>56</v>
      </c>
      <c r="E9" s="4">
        <f>46309.6049125987 + (VLOOKUP($B$1,TimeZones!$A$1:$C$28,2,FALSE))/24</f>
        <v>46309.729912598697</v>
      </c>
      <c r="F9" s="4">
        <f>46309.6674125987 + (VLOOKUP($B$1,TimeZones!$A$1:$C$28,2,FALSE))/24</f>
        <v>46309.792412598697</v>
      </c>
      <c r="G9" s="2" t="s">
        <v>142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"/>
  <sheetViews>
    <sheetView workbookViewId="0">
      <selection activeCell="G5" sqref="G5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1" t="s">
        <v>131</v>
      </c>
      <c r="B1" s="2" t="s">
        <v>87</v>
      </c>
    </row>
    <row r="3" spans="1:8" ht="30" x14ac:dyDescent="0.25">
      <c r="A3" s="1" t="s">
        <v>75</v>
      </c>
      <c r="B3" s="1" t="s">
        <v>128</v>
      </c>
      <c r="C3" s="1" t="s">
        <v>88</v>
      </c>
      <c r="D3" s="1" t="s">
        <v>84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114</v>
      </c>
      <c r="H3" s="1" t="s">
        <v>60</v>
      </c>
    </row>
    <row r="4" spans="1:8" x14ac:dyDescent="0.25">
      <c r="A4" s="2" t="s">
        <v>34</v>
      </c>
      <c r="B4" s="2" t="s">
        <v>80</v>
      </c>
      <c r="C4" s="3">
        <v>0</v>
      </c>
      <c r="D4" s="3">
        <v>56</v>
      </c>
      <c r="E4" s="4">
        <f>46309.5304262083 + (VLOOKUP($B$1,TimeZones!$A$1:$C$28,2,FALSE))/24</f>
        <v>46309.655426208301</v>
      </c>
      <c r="F4" s="4">
        <f>46309.5586581442 + (VLOOKUP($B$1,TimeZones!$A$1:$C$28,2,FALSE))/24</f>
        <v>46309.683658144197</v>
      </c>
      <c r="G4" s="2" t="s">
        <v>142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5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"/>
  <sheetViews>
    <sheetView workbookViewId="0">
      <selection activeCell="G5" sqref="G5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1" t="s">
        <v>131</v>
      </c>
      <c r="B1" s="2" t="s">
        <v>87</v>
      </c>
    </row>
    <row r="3" spans="1:8" ht="30" x14ac:dyDescent="0.25">
      <c r="A3" s="1" t="s">
        <v>75</v>
      </c>
      <c r="B3" s="1" t="s">
        <v>128</v>
      </c>
      <c r="C3" s="1" t="s">
        <v>88</v>
      </c>
      <c r="D3" s="1" t="s">
        <v>84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114</v>
      </c>
      <c r="H3" s="1" t="s">
        <v>60</v>
      </c>
    </row>
    <row r="4" spans="1:8" x14ac:dyDescent="0.25">
      <c r="A4" s="2" t="s">
        <v>35</v>
      </c>
      <c r="B4" s="2" t="s">
        <v>136</v>
      </c>
      <c r="C4" s="3">
        <v>42</v>
      </c>
      <c r="D4" s="3">
        <v>56</v>
      </c>
      <c r="E4" s="4">
        <f>46309.6183848377 + (VLOOKUP($B$1,TimeZones!$A$1:$C$28,2,FALSE))/24</f>
        <v>46309.743384837697</v>
      </c>
      <c r="F4" s="4">
        <f>46309.6227705872 + (VLOOKUP($B$1,TimeZones!$A$1:$C$28,2,FALSE))/24</f>
        <v>46309.747770587201</v>
      </c>
      <c r="G4" s="2" t="s">
        <v>140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6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"/>
  <sheetViews>
    <sheetView tabSelected="1" workbookViewId="0">
      <selection activeCell="G7" sqref="G7"/>
    </sheetView>
  </sheetViews>
  <sheetFormatPr defaultRowHeight="15" x14ac:dyDescent="0.2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 x14ac:dyDescent="0.25">
      <c r="A1" s="1" t="s">
        <v>131</v>
      </c>
      <c r="B1" s="2" t="s">
        <v>87</v>
      </c>
    </row>
    <row r="3" spans="1:8" ht="30" x14ac:dyDescent="0.25">
      <c r="A3" s="1" t="s">
        <v>75</v>
      </c>
      <c r="B3" s="1" t="s">
        <v>128</v>
      </c>
      <c r="C3" s="1" t="s">
        <v>88</v>
      </c>
      <c r="D3" s="1" t="s">
        <v>84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114</v>
      </c>
      <c r="H3" s="1" t="s">
        <v>60</v>
      </c>
    </row>
    <row r="4" spans="1:8" x14ac:dyDescent="0.25">
      <c r="A4" s="2" t="s">
        <v>38</v>
      </c>
      <c r="B4" s="2" t="s">
        <v>51</v>
      </c>
      <c r="C4" s="3">
        <v>42</v>
      </c>
      <c r="D4" s="3">
        <v>56</v>
      </c>
      <c r="E4" s="4">
        <f>46309.500330198 + (VLOOKUP($B$1,TimeZones!$A$1:$C$28,2,FALSE))/24</f>
        <v>46309.625330198003</v>
      </c>
      <c r="F4" s="4">
        <f>46309.5153624698 + (VLOOKUP($B$1,TimeZones!$A$1:$C$28,2,FALSE))/24</f>
        <v>46309.6403624698</v>
      </c>
      <c r="G4" s="2" t="s">
        <v>140</v>
      </c>
    </row>
    <row r="5" spans="1:8" x14ac:dyDescent="0.25">
      <c r="A5" s="2" t="s">
        <v>36</v>
      </c>
      <c r="B5" s="2" t="s">
        <v>52</v>
      </c>
      <c r="C5" s="3">
        <v>24</v>
      </c>
      <c r="D5" s="3">
        <v>56</v>
      </c>
      <c r="E5" s="4">
        <f>46309.5004747095 + (VLOOKUP($B$1,TimeZones!$A$1:$C$28,2,FALSE))/24</f>
        <v>46309.625474709501</v>
      </c>
      <c r="F5" s="4">
        <f>46309.5140440198 + (VLOOKUP($B$1,TimeZones!$A$1:$C$28,2,FALSE))/24</f>
        <v>46309.639044019801</v>
      </c>
      <c r="G5" s="2" t="s">
        <v>141</v>
      </c>
    </row>
    <row r="6" spans="1:8" x14ac:dyDescent="0.25">
      <c r="A6" s="2" t="s">
        <v>37</v>
      </c>
      <c r="B6" s="2" t="s">
        <v>118</v>
      </c>
      <c r="C6" s="3">
        <v>7</v>
      </c>
      <c r="D6" s="3">
        <v>56</v>
      </c>
      <c r="E6" s="4">
        <f>46309.6083330889 + (VLOOKUP($B$1,TimeZones!$A$1:$C$28,2,FALSE))/24</f>
        <v>46309.733333088901</v>
      </c>
      <c r="F6" s="4">
        <f>46309.6120525793 + (VLOOKUP($B$1,TimeZones!$A$1:$C$28,2,FALSE))/24</f>
        <v>46309.737052579301</v>
      </c>
      <c r="G6" s="2" t="s">
        <v>142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7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8"/>
  <sheetViews>
    <sheetView workbookViewId="0"/>
  </sheetViews>
  <sheetFormatPr defaultRowHeight="15" x14ac:dyDescent="0.25"/>
  <cols>
    <col min="1" max="1" width="139.140625" customWidth="1"/>
    <col min="2" max="2" width="34.85546875" customWidth="1"/>
    <col min="3" max="3" width="92.85546875" customWidth="1"/>
  </cols>
  <sheetData>
    <row r="1" spans="1:3" x14ac:dyDescent="0.25">
      <c r="A1" s="2" t="s">
        <v>40</v>
      </c>
      <c r="B1" s="2">
        <v>0</v>
      </c>
      <c r="C1" s="2" t="s">
        <v>39</v>
      </c>
    </row>
    <row r="2" spans="1:3" x14ac:dyDescent="0.25">
      <c r="A2" s="2" t="s">
        <v>69</v>
      </c>
      <c r="B2" s="2">
        <v>2</v>
      </c>
      <c r="C2" s="2" t="s">
        <v>68</v>
      </c>
    </row>
    <row r="3" spans="1:3" x14ac:dyDescent="0.25">
      <c r="A3" s="2" t="s">
        <v>87</v>
      </c>
      <c r="B3" s="2">
        <v>3</v>
      </c>
      <c r="C3" s="2" t="s">
        <v>86</v>
      </c>
    </row>
    <row r="4" spans="1:3" x14ac:dyDescent="0.25">
      <c r="A4" s="2" t="s">
        <v>109</v>
      </c>
      <c r="B4" s="2">
        <v>3</v>
      </c>
      <c r="C4" s="2" t="s">
        <v>108</v>
      </c>
    </row>
    <row r="5" spans="1:3" x14ac:dyDescent="0.25">
      <c r="A5" s="2" t="s">
        <v>74</v>
      </c>
      <c r="B5" s="2">
        <v>3</v>
      </c>
      <c r="C5" s="2" t="s">
        <v>73</v>
      </c>
    </row>
    <row r="6" spans="1:3" x14ac:dyDescent="0.25">
      <c r="A6" s="2" t="s">
        <v>58</v>
      </c>
      <c r="B6" s="2">
        <v>3</v>
      </c>
      <c r="C6" s="2" t="s">
        <v>57</v>
      </c>
    </row>
    <row r="7" spans="1:3" x14ac:dyDescent="0.25">
      <c r="A7" s="2" t="s">
        <v>44</v>
      </c>
      <c r="B7" s="2">
        <v>4</v>
      </c>
      <c r="C7" s="2" t="s">
        <v>43</v>
      </c>
    </row>
    <row r="8" spans="1:3" x14ac:dyDescent="0.25">
      <c r="A8" s="2" t="s">
        <v>103</v>
      </c>
      <c r="B8" s="2">
        <v>4</v>
      </c>
      <c r="C8" s="2" t="s">
        <v>102</v>
      </c>
    </row>
    <row r="9" spans="1:3" x14ac:dyDescent="0.25">
      <c r="A9" s="2" t="s">
        <v>124</v>
      </c>
      <c r="B9" s="2">
        <v>4</v>
      </c>
      <c r="C9" s="2" t="s">
        <v>123</v>
      </c>
    </row>
    <row r="10" spans="1:3" x14ac:dyDescent="0.25">
      <c r="A10" s="2" t="s">
        <v>101</v>
      </c>
      <c r="B10" s="2">
        <v>4</v>
      </c>
      <c r="C10" s="2" t="s">
        <v>100</v>
      </c>
    </row>
    <row r="11" spans="1:3" x14ac:dyDescent="0.25">
      <c r="A11" s="2" t="s">
        <v>62</v>
      </c>
      <c r="B11" s="2">
        <v>5</v>
      </c>
      <c r="C11" s="2" t="s">
        <v>61</v>
      </c>
    </row>
    <row r="12" spans="1:3" x14ac:dyDescent="0.25">
      <c r="A12" s="2" t="s">
        <v>96</v>
      </c>
      <c r="B12" s="2">
        <v>6</v>
      </c>
      <c r="C12" s="2" t="s">
        <v>95</v>
      </c>
    </row>
    <row r="13" spans="1:3" x14ac:dyDescent="0.25">
      <c r="A13" s="2" t="s">
        <v>94</v>
      </c>
      <c r="B13" s="2">
        <v>7</v>
      </c>
      <c r="C13" s="2" t="s">
        <v>93</v>
      </c>
    </row>
    <row r="14" spans="1:3" x14ac:dyDescent="0.25">
      <c r="A14" s="2" t="s">
        <v>47</v>
      </c>
      <c r="B14" s="2">
        <v>7</v>
      </c>
      <c r="C14" s="2" t="s">
        <v>46</v>
      </c>
    </row>
    <row r="15" spans="1:3" x14ac:dyDescent="0.25">
      <c r="A15" s="2" t="s">
        <v>121</v>
      </c>
      <c r="B15" s="2">
        <v>7</v>
      </c>
      <c r="C15" s="2" t="s">
        <v>120</v>
      </c>
    </row>
    <row r="16" spans="1:3" x14ac:dyDescent="0.25">
      <c r="A16" s="2" t="s">
        <v>92</v>
      </c>
      <c r="B16" s="2">
        <v>7</v>
      </c>
      <c r="C16" s="2" t="s">
        <v>91</v>
      </c>
    </row>
    <row r="17" spans="1:3" x14ac:dyDescent="0.25">
      <c r="A17" s="2" t="s">
        <v>79</v>
      </c>
      <c r="B17" s="2">
        <v>7</v>
      </c>
      <c r="C17" s="2" t="s">
        <v>78</v>
      </c>
    </row>
    <row r="18" spans="1:3" x14ac:dyDescent="0.25">
      <c r="A18" s="2" t="s">
        <v>67</v>
      </c>
      <c r="B18" s="2">
        <v>8</v>
      </c>
      <c r="C18" s="2" t="s">
        <v>66</v>
      </c>
    </row>
    <row r="19" spans="1:3" x14ac:dyDescent="0.25">
      <c r="A19" s="2" t="s">
        <v>133</v>
      </c>
      <c r="B19" s="2">
        <v>9</v>
      </c>
      <c r="C19" s="2" t="s">
        <v>132</v>
      </c>
    </row>
    <row r="20" spans="1:3" x14ac:dyDescent="0.25">
      <c r="A20" s="2" t="s">
        <v>139</v>
      </c>
      <c r="B20" s="2">
        <v>9</v>
      </c>
      <c r="C20" s="2" t="s">
        <v>138</v>
      </c>
    </row>
    <row r="21" spans="1:3" x14ac:dyDescent="0.25">
      <c r="A21" s="2" t="s">
        <v>130</v>
      </c>
      <c r="B21" s="2">
        <v>9</v>
      </c>
      <c r="C21" s="2" t="s">
        <v>129</v>
      </c>
    </row>
    <row r="22" spans="1:3" x14ac:dyDescent="0.25">
      <c r="A22" s="2" t="s">
        <v>56</v>
      </c>
      <c r="B22" s="2">
        <v>10</v>
      </c>
      <c r="C22" s="2" t="s">
        <v>55</v>
      </c>
    </row>
    <row r="23" spans="1:3" x14ac:dyDescent="0.25">
      <c r="A23" s="2" t="s">
        <v>127</v>
      </c>
      <c r="B23" s="2">
        <v>10</v>
      </c>
      <c r="C23" s="2" t="s">
        <v>126</v>
      </c>
    </row>
    <row r="24" spans="1:3" x14ac:dyDescent="0.25">
      <c r="A24" s="2" t="s">
        <v>82</v>
      </c>
      <c r="B24" s="2">
        <v>11</v>
      </c>
      <c r="C24" s="2" t="s">
        <v>81</v>
      </c>
    </row>
    <row r="25" spans="1:3" x14ac:dyDescent="0.25">
      <c r="A25" s="2" t="s">
        <v>105</v>
      </c>
      <c r="B25" s="2">
        <v>11</v>
      </c>
      <c r="C25" s="2" t="s">
        <v>104</v>
      </c>
    </row>
    <row r="26" spans="1:3" x14ac:dyDescent="0.25">
      <c r="A26" s="2" t="s">
        <v>112</v>
      </c>
      <c r="B26" s="2">
        <v>11</v>
      </c>
      <c r="C26" s="2" t="s">
        <v>111</v>
      </c>
    </row>
    <row r="27" spans="1:3" x14ac:dyDescent="0.25">
      <c r="A27" s="2" t="s">
        <v>72</v>
      </c>
      <c r="B27" s="2">
        <v>12</v>
      </c>
      <c r="C27" s="2" t="s">
        <v>71</v>
      </c>
    </row>
    <row r="28" spans="1:3" x14ac:dyDescent="0.25">
      <c r="A28" s="2" t="s">
        <v>42</v>
      </c>
      <c r="B28" s="2">
        <v>12</v>
      </c>
      <c r="C28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19667 Математика 4 класс</vt:lpstr>
      <vt:lpstr>19668 Математика 5 класс</vt:lpstr>
      <vt:lpstr>19669 Математика 6 класс</vt:lpstr>
      <vt:lpstr>19670 Математика 7 класс</vt:lpstr>
      <vt:lpstr>19671 Математика 8 класс</vt:lpstr>
      <vt:lpstr>19672 Математика 9 класс</vt:lpstr>
      <vt:lpstr>19673 Математика 10 класс</vt:lpstr>
      <vt:lpstr>19674 Математика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Марина</cp:lastModifiedBy>
  <dcterms:created xsi:type="dcterms:W3CDTF">2026-11-02T11:45:04Z</dcterms:created>
  <dcterms:modified xsi:type="dcterms:W3CDTF">2026-11-02T11:45:04Z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2026-11-02T11:41:29.159807285Z</dcterms:created>
  <dc:creator>xlsxwriter</dc:creator>
  <cp:lastModifiedBy>xlsxwriter</cp:lastModifiedBy>
</cp:coreProperties>
</file>